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COMERCIAL\Documents\ARCHIVOS CONTROL PARA PAGINA 2021\"/>
    </mc:Choice>
  </mc:AlternateContent>
  <xr:revisionPtr revIDLastSave="0" documentId="13_ncr:1_{B44E331E-97D7-47ED-B0E4-F49E87B1BE1E}" xr6:coauthVersionLast="46" xr6:coauthVersionMax="46" xr10:uidLastSave="{00000000-0000-0000-0000-000000000000}"/>
  <bookViews>
    <workbookView xWindow="-108" yWindow="-108" windowWidth="15576" windowHeight="8832" tabRatio="860" firstSheet="23" activeTab="25" xr2:uid="{00000000-000D-0000-FFFF-FFFF00000000}"/>
  </bookViews>
  <sheets>
    <sheet name="MOP" sheetId="24" r:id="rId1"/>
    <sheet name="01-GESTIÓN ESTRATÉGICA" sheetId="17" r:id="rId2"/>
    <sheet name="01-FORMATO ID Y SEGUI" sheetId="36" r:id="rId3"/>
    <sheet name="02-GESTIÓN DEL TALENTO HUMANO" sheetId="26" r:id="rId4"/>
    <sheet name="02-FORMATO ID Y SEGUI" sheetId="37" r:id="rId5"/>
    <sheet name="03-CAPTACIÓN" sheetId="13" r:id="rId6"/>
    <sheet name="03-FORMATO ID Y SEGUI" sheetId="38" r:id="rId7"/>
    <sheet name="04-INVERSIONES" sheetId="25" r:id="rId8"/>
    <sheet name="04-FORMATO ID Y SEGUI" sheetId="39" r:id="rId9"/>
    <sheet name="05-COLOCACIÓN" sheetId="14" r:id="rId10"/>
    <sheet name="05-FORMATO ID Y SEGUI" sheetId="40" r:id="rId11"/>
    <sheet name="06-GESTIÓN DE PROYECTOS" sheetId="28" r:id="rId12"/>
    <sheet name="06-FORMATO ID Y SEGUI" sheetId="41" r:id="rId13"/>
    <sheet name="07-GESTIÓN CONT. Y DEF JURÍDICA" sheetId="20" r:id="rId14"/>
    <sheet name="07-FORMATO ID Y SEGUI" sheetId="42" r:id="rId15"/>
    <sheet name="08-GESTIÓN DE CALIDAD" sheetId="31" r:id="rId16"/>
    <sheet name="08-FORMATO ID Y SEGUI" sheetId="43" r:id="rId17"/>
    <sheet name="09-GESTIÓN ADTVA" sheetId="18" r:id="rId18"/>
    <sheet name="09-FORMATO ID Y SEGUI" sheetId="44" r:id="rId19"/>
    <sheet name="10-GESTIÓN FINANCIERA" sheetId="19" r:id="rId20"/>
    <sheet name="10-FORMATO ID Y SEGUI" sheetId="45" r:id="rId21"/>
    <sheet name="11-TICS" sheetId="21" r:id="rId22"/>
    <sheet name="11-FORMATO ID Y SEGUI" sheetId="46" r:id="rId23"/>
    <sheet name="12-SEGUIMIENTO INSTITUCIONAL" sheetId="16" r:id="rId24"/>
    <sheet name="12-FORMATO ID Y SEGUI" sheetId="47" r:id="rId25"/>
    <sheet name="13-GESTIÓN DE RIESGOS" sheetId="27" r:id="rId26"/>
    <sheet name="13-FORMATO ID Y SEGUI" sheetId="48" r:id="rId27"/>
    <sheet name="13.1-LAFT" sheetId="49" r:id="rId28"/>
    <sheet name="13.1-FORMATO ID Y SEGUI" sheetId="50" r:id="rId29"/>
    <sheet name="TABLAS" sheetId="22" r:id="rId30"/>
    <sheet name="MAPA DE CALOR" sheetId="33" r:id="rId31"/>
    <sheet name="EVENTOS RO" sheetId="35" r:id="rId32"/>
  </sheets>
  <externalReferences>
    <externalReference r:id="rId33"/>
  </externalReferences>
  <definedNames>
    <definedName name="_xlnm.Print_Area" localSheetId="6">'03-FORMATO ID Y SEGUI'!$A$1:$I$37</definedName>
    <definedName name="_xlnm.Print_Area" localSheetId="8">'04-FORMATO ID Y SEGUI'!$A$1:$I$30</definedName>
    <definedName name="_xlnm.Print_Area" localSheetId="10">'05-FORMATO ID Y SEGUI'!$A$1:$I$30</definedName>
    <definedName name="_xlnm.Print_Area" localSheetId="12">'06-FORMATO ID Y SEGUI'!$A$1:$I$34</definedName>
    <definedName name="_xlnm.Print_Area" localSheetId="14">'07-FORMATO ID Y SEGUI'!$A$1:$I$29</definedName>
    <definedName name="_xlnm.Print_Area" localSheetId="18">'09-FORMATO ID Y SEGUI'!$A$1:$I$27</definedName>
    <definedName name="_xlnm.Print_Area" localSheetId="20">'10-FORMATO ID Y SEGUI'!$A$1:$I$27</definedName>
    <definedName name="_xlnm.Print_Area" localSheetId="22">'11-FORMATO ID Y SEGUI'!$A$1:$I$31</definedName>
    <definedName name="_xlnm.Print_Area" localSheetId="24">'12-FORMATO ID Y SEGUI'!$A$1:$I$37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49" l="1"/>
  <c r="Q21" i="49"/>
  <c r="O21" i="49"/>
  <c r="M21" i="49"/>
  <c r="K21" i="49"/>
  <c r="H21" i="49"/>
  <c r="S20" i="49"/>
  <c r="Q20" i="49"/>
  <c r="O20" i="49"/>
  <c r="M20" i="49"/>
  <c r="K20" i="49"/>
  <c r="H20" i="49"/>
  <c r="S19" i="49"/>
  <c r="Q19" i="49"/>
  <c r="O19" i="49"/>
  <c r="M19" i="49"/>
  <c r="K19" i="49"/>
  <c r="H19" i="49"/>
  <c r="U18" i="49"/>
  <c r="W18" i="49" s="1"/>
  <c r="X18" i="49" s="1"/>
  <c r="S18" i="49"/>
  <c r="Q18" i="49"/>
  <c r="O18" i="49"/>
  <c r="M18" i="49"/>
  <c r="K18" i="49"/>
  <c r="H18" i="49"/>
  <c r="S17" i="49"/>
  <c r="Q17" i="49"/>
  <c r="O17" i="49"/>
  <c r="M17" i="49"/>
  <c r="K17" i="49"/>
  <c r="H17" i="49"/>
  <c r="Q16" i="49"/>
  <c r="O16" i="49"/>
  <c r="M16" i="49"/>
  <c r="K16" i="49"/>
  <c r="H16" i="49"/>
  <c r="S15" i="49"/>
  <c r="Q15" i="49"/>
  <c r="O15" i="49"/>
  <c r="M15" i="49"/>
  <c r="K15" i="49"/>
  <c r="H15" i="49"/>
  <c r="T20" i="49" l="1"/>
  <c r="U20" i="49" s="1"/>
  <c r="W20" i="49" s="1"/>
  <c r="X20" i="49" s="1"/>
  <c r="T15" i="49"/>
  <c r="U15" i="49" s="1"/>
  <c r="W15" i="49" s="1"/>
  <c r="X15" i="49" s="1"/>
  <c r="T17" i="49"/>
  <c r="U17" i="49" s="1"/>
  <c r="W17" i="49" s="1"/>
  <c r="X17" i="49" s="1"/>
  <c r="T16" i="49"/>
  <c r="U16" i="49" s="1"/>
  <c r="W16" i="49" s="1"/>
  <c r="X16" i="49" s="1"/>
  <c r="T18" i="49"/>
  <c r="T19" i="49"/>
  <c r="U19" i="49" s="1"/>
  <c r="W19" i="49" s="1"/>
  <c r="X19" i="49" s="1"/>
  <c r="T21" i="49"/>
  <c r="U21" i="49" s="1"/>
  <c r="W21" i="49" s="1"/>
  <c r="X21" i="49" s="1"/>
  <c r="S20" i="14"/>
  <c r="Q20" i="14"/>
  <c r="O20" i="14"/>
  <c r="M20" i="14"/>
  <c r="K20" i="14"/>
  <c r="H20" i="14"/>
  <c r="T20" i="14" l="1"/>
  <c r="U20" i="14" s="1"/>
  <c r="W20" i="14" s="1"/>
  <c r="X20" i="14" s="1"/>
  <c r="H15" i="17"/>
  <c r="J6" i="22"/>
  <c r="J8" i="22"/>
  <c r="J10" i="22"/>
  <c r="J12" i="22"/>
  <c r="J4" i="22"/>
  <c r="H22" i="21"/>
  <c r="S28" i="14"/>
  <c r="Q28" i="14"/>
  <c r="O28" i="14"/>
  <c r="M28" i="14"/>
  <c r="K28" i="14"/>
  <c r="H28" i="14"/>
  <c r="U17" i="20"/>
  <c r="U16" i="20"/>
  <c r="W16" i="20" s="1"/>
  <c r="X16" i="20" s="1"/>
  <c r="U15" i="31"/>
  <c r="W15" i="31" s="1"/>
  <c r="X15" i="31" s="1"/>
  <c r="K16" i="31"/>
  <c r="M16" i="31"/>
  <c r="O16" i="31"/>
  <c r="Q16" i="31"/>
  <c r="S16" i="31"/>
  <c r="K17" i="31"/>
  <c r="M17" i="31"/>
  <c r="O17" i="31"/>
  <c r="Q17" i="31"/>
  <c r="S17" i="31"/>
  <c r="K18" i="31"/>
  <c r="M18" i="31"/>
  <c r="O18" i="31"/>
  <c r="Q18" i="31"/>
  <c r="S18" i="31"/>
  <c r="H17" i="31"/>
  <c r="S19" i="18"/>
  <c r="Q19" i="18"/>
  <c r="O19" i="18"/>
  <c r="M19" i="18"/>
  <c r="K19" i="18"/>
  <c r="H19" i="18"/>
  <c r="H18" i="18"/>
  <c r="K18" i="18"/>
  <c r="M18" i="18"/>
  <c r="O18" i="18"/>
  <c r="Q18" i="18"/>
  <c r="S18" i="18"/>
  <c r="H18" i="31"/>
  <c r="H16" i="31"/>
  <c r="K15" i="31"/>
  <c r="M15" i="31"/>
  <c r="O15" i="31"/>
  <c r="Q15" i="31"/>
  <c r="S15" i="31"/>
  <c r="H15" i="31"/>
  <c r="U15" i="27"/>
  <c r="W15" i="27" s="1"/>
  <c r="X15" i="27" s="1"/>
  <c r="U16" i="27"/>
  <c r="W16" i="27" s="1"/>
  <c r="X16" i="27" s="1"/>
  <c r="K17" i="27"/>
  <c r="M17" i="27"/>
  <c r="O17" i="27"/>
  <c r="Q17" i="27"/>
  <c r="S17" i="27"/>
  <c r="K18" i="27"/>
  <c r="M18" i="27"/>
  <c r="O18" i="27"/>
  <c r="Q18" i="27"/>
  <c r="S18" i="27"/>
  <c r="U19" i="27"/>
  <c r="W19" i="27" s="1"/>
  <c r="X19" i="27" s="1"/>
  <c r="H18" i="27"/>
  <c r="K16" i="28"/>
  <c r="M16" i="28"/>
  <c r="O16" i="28"/>
  <c r="Q16" i="28"/>
  <c r="S16" i="28"/>
  <c r="H16" i="28"/>
  <c r="K15" i="28"/>
  <c r="M15" i="28"/>
  <c r="O15" i="28"/>
  <c r="Q15" i="28"/>
  <c r="S15" i="28"/>
  <c r="H15" i="28"/>
  <c r="K15" i="27"/>
  <c r="M15" i="27"/>
  <c r="O15" i="27"/>
  <c r="Q15" i="27"/>
  <c r="S15" i="27"/>
  <c r="H15" i="27"/>
  <c r="K19" i="27"/>
  <c r="M19" i="27"/>
  <c r="O19" i="27"/>
  <c r="Q19" i="27"/>
  <c r="S19" i="27"/>
  <c r="H19" i="27"/>
  <c r="H17" i="27"/>
  <c r="K16" i="27"/>
  <c r="M16" i="27"/>
  <c r="O16" i="27"/>
  <c r="Q16" i="27"/>
  <c r="S16" i="27"/>
  <c r="H16" i="27"/>
  <c r="U16" i="16"/>
  <c r="W16" i="16" s="1"/>
  <c r="X16" i="16" s="1"/>
  <c r="U17" i="16"/>
  <c r="K18" i="16"/>
  <c r="M18" i="16"/>
  <c r="O18" i="16"/>
  <c r="Q18" i="16"/>
  <c r="S18" i="16"/>
  <c r="K19" i="16"/>
  <c r="M19" i="16"/>
  <c r="O19" i="16"/>
  <c r="Q19" i="16"/>
  <c r="S19" i="16"/>
  <c r="U20" i="16"/>
  <c r="K20" i="25"/>
  <c r="M20" i="25"/>
  <c r="O20" i="25"/>
  <c r="Q20" i="25"/>
  <c r="S20" i="25"/>
  <c r="H20" i="25"/>
  <c r="K18" i="26"/>
  <c r="M18" i="26"/>
  <c r="O18" i="26"/>
  <c r="Q18" i="26"/>
  <c r="S18" i="26"/>
  <c r="H18" i="26"/>
  <c r="K17" i="26"/>
  <c r="M17" i="26"/>
  <c r="O17" i="26"/>
  <c r="Q17" i="26"/>
  <c r="S17" i="26"/>
  <c r="H17" i="26"/>
  <c r="K16" i="26"/>
  <c r="M16" i="26"/>
  <c r="O16" i="26"/>
  <c r="Q16" i="26"/>
  <c r="S16" i="26"/>
  <c r="H16" i="26"/>
  <c r="K15" i="26"/>
  <c r="M15" i="26"/>
  <c r="O15" i="26"/>
  <c r="Q15" i="26"/>
  <c r="S15" i="26"/>
  <c r="H15" i="26"/>
  <c r="U18" i="25"/>
  <c r="W18" i="25" s="1"/>
  <c r="X18" i="25" s="1"/>
  <c r="K19" i="25"/>
  <c r="M19" i="25"/>
  <c r="O19" i="25"/>
  <c r="Q19" i="25"/>
  <c r="S19" i="25"/>
  <c r="H19" i="25"/>
  <c r="K18" i="25"/>
  <c r="M18" i="25"/>
  <c r="O18" i="25"/>
  <c r="Q18" i="25"/>
  <c r="S18" i="25"/>
  <c r="H18" i="25"/>
  <c r="K17" i="25"/>
  <c r="M17" i="25"/>
  <c r="O17" i="25"/>
  <c r="Q17" i="25"/>
  <c r="S17" i="25"/>
  <c r="H17" i="25"/>
  <c r="K16" i="25"/>
  <c r="M16" i="25"/>
  <c r="O16" i="25"/>
  <c r="Q16" i="25"/>
  <c r="S16" i="25"/>
  <c r="H16" i="25"/>
  <c r="K15" i="25"/>
  <c r="M15" i="25"/>
  <c r="O15" i="25"/>
  <c r="Q15" i="25"/>
  <c r="S15" i="25"/>
  <c r="H15" i="25"/>
  <c r="K15" i="17"/>
  <c r="K16" i="17"/>
  <c r="H26" i="19"/>
  <c r="K26" i="19"/>
  <c r="M26" i="19"/>
  <c r="O26" i="19"/>
  <c r="Q26" i="19"/>
  <c r="S26" i="19"/>
  <c r="U15" i="16"/>
  <c r="W15" i="16" s="1"/>
  <c r="X15" i="16" s="1"/>
  <c r="S16" i="13"/>
  <c r="Q16" i="13"/>
  <c r="O16" i="13"/>
  <c r="M16" i="13"/>
  <c r="K16" i="13"/>
  <c r="H16" i="13"/>
  <c r="K27" i="14"/>
  <c r="M27" i="14"/>
  <c r="O27" i="14"/>
  <c r="Q27" i="14"/>
  <c r="S27" i="14"/>
  <c r="H27" i="14"/>
  <c r="H24" i="14"/>
  <c r="K24" i="14"/>
  <c r="M24" i="14"/>
  <c r="O24" i="14"/>
  <c r="Q24" i="14"/>
  <c r="S24" i="14"/>
  <c r="H19" i="14"/>
  <c r="K19" i="14"/>
  <c r="M19" i="14"/>
  <c r="O19" i="14"/>
  <c r="Q19" i="14"/>
  <c r="S19" i="14"/>
  <c r="K15" i="14"/>
  <c r="M15" i="14"/>
  <c r="O15" i="14"/>
  <c r="Q15" i="14"/>
  <c r="K16" i="14"/>
  <c r="M16" i="14"/>
  <c r="O16" i="14"/>
  <c r="Q16" i="14"/>
  <c r="H18" i="14"/>
  <c r="K18" i="14"/>
  <c r="M18" i="14"/>
  <c r="O18" i="14"/>
  <c r="Q18" i="14"/>
  <c r="S18" i="14"/>
  <c r="K16" i="19"/>
  <c r="M16" i="19"/>
  <c r="O16" i="19"/>
  <c r="Q16" i="19"/>
  <c r="S16" i="19"/>
  <c r="K17" i="19"/>
  <c r="M17" i="19"/>
  <c r="O17" i="19"/>
  <c r="Q17" i="19"/>
  <c r="S17" i="19"/>
  <c r="K18" i="19"/>
  <c r="M18" i="19"/>
  <c r="O18" i="19"/>
  <c r="Q18" i="19"/>
  <c r="S18" i="19"/>
  <c r="K19" i="19"/>
  <c r="M19" i="19"/>
  <c r="O19" i="19"/>
  <c r="Q19" i="19"/>
  <c r="S19" i="19"/>
  <c r="K20" i="19"/>
  <c r="M20" i="19"/>
  <c r="O20" i="19"/>
  <c r="Q20" i="19"/>
  <c r="S20" i="19"/>
  <c r="K21" i="19"/>
  <c r="M21" i="19"/>
  <c r="O21" i="19"/>
  <c r="Q21" i="19"/>
  <c r="S21" i="19"/>
  <c r="K22" i="19"/>
  <c r="M22" i="19"/>
  <c r="O22" i="19"/>
  <c r="Q22" i="19"/>
  <c r="S22" i="19"/>
  <c r="K23" i="19"/>
  <c r="M23" i="19"/>
  <c r="O23" i="19"/>
  <c r="Q23" i="19"/>
  <c r="S23" i="19"/>
  <c r="K24" i="19"/>
  <c r="M24" i="19"/>
  <c r="O24" i="19"/>
  <c r="Q24" i="19"/>
  <c r="S24" i="19"/>
  <c r="K25" i="19"/>
  <c r="M25" i="19"/>
  <c r="O25" i="19"/>
  <c r="Q25" i="19"/>
  <c r="S25" i="19"/>
  <c r="S15" i="19"/>
  <c r="Q15" i="19"/>
  <c r="O15" i="19"/>
  <c r="M15" i="19"/>
  <c r="K15" i="19"/>
  <c r="H16" i="19"/>
  <c r="H17" i="19"/>
  <c r="H18" i="19"/>
  <c r="H19" i="19"/>
  <c r="H20" i="19"/>
  <c r="H21" i="19"/>
  <c r="H22" i="19"/>
  <c r="H23" i="19"/>
  <c r="H24" i="19"/>
  <c r="H25" i="19"/>
  <c r="H15" i="19"/>
  <c r="K17" i="18"/>
  <c r="M17" i="18"/>
  <c r="O17" i="18"/>
  <c r="Q17" i="18"/>
  <c r="S17" i="18"/>
  <c r="S16" i="18"/>
  <c r="Q16" i="18"/>
  <c r="O16" i="18"/>
  <c r="M16" i="18"/>
  <c r="K16" i="18"/>
  <c r="S15" i="18"/>
  <c r="Q15" i="18"/>
  <c r="O15" i="18"/>
  <c r="M15" i="18"/>
  <c r="K15" i="18"/>
  <c r="H15" i="18"/>
  <c r="H16" i="18"/>
  <c r="H17" i="18"/>
  <c r="S16" i="17"/>
  <c r="Q16" i="17"/>
  <c r="O16" i="17"/>
  <c r="M16" i="17"/>
  <c r="S15" i="17"/>
  <c r="Q15" i="17"/>
  <c r="O15" i="17"/>
  <c r="M15" i="17"/>
  <c r="H16" i="17"/>
  <c r="S20" i="16"/>
  <c r="Q20" i="16"/>
  <c r="O20" i="16"/>
  <c r="M20" i="16"/>
  <c r="K20" i="16"/>
  <c r="S17" i="16"/>
  <c r="Q17" i="16"/>
  <c r="O17" i="16"/>
  <c r="M17" i="16"/>
  <c r="K17" i="16"/>
  <c r="S16" i="16"/>
  <c r="Q16" i="16"/>
  <c r="O16" i="16"/>
  <c r="M16" i="16"/>
  <c r="K16" i="16"/>
  <c r="S15" i="16"/>
  <c r="Q15" i="16"/>
  <c r="O15" i="16"/>
  <c r="M15" i="16"/>
  <c r="K15" i="16"/>
  <c r="H16" i="16"/>
  <c r="H17" i="16"/>
  <c r="H18" i="16"/>
  <c r="H19" i="16"/>
  <c r="H20" i="16"/>
  <c r="H15" i="16"/>
  <c r="Q22" i="14"/>
  <c r="S22" i="14"/>
  <c r="Q23" i="14"/>
  <c r="S23" i="14"/>
  <c r="Q25" i="14"/>
  <c r="S25" i="14"/>
  <c r="Q26" i="14"/>
  <c r="S26" i="14"/>
  <c r="O22" i="14"/>
  <c r="O23" i="14"/>
  <c r="O25" i="14"/>
  <c r="O26" i="14"/>
  <c r="M22" i="14"/>
  <c r="M23" i="14"/>
  <c r="M25" i="14"/>
  <c r="M26" i="14"/>
  <c r="K22" i="14"/>
  <c r="K23" i="14"/>
  <c r="K25" i="14"/>
  <c r="K26" i="14"/>
  <c r="S21" i="14"/>
  <c r="Q21" i="14"/>
  <c r="O21" i="14"/>
  <c r="M21" i="14"/>
  <c r="K21" i="14"/>
  <c r="S17" i="14"/>
  <c r="Q17" i="14"/>
  <c r="O17" i="14"/>
  <c r="M17" i="14"/>
  <c r="K17" i="14"/>
  <c r="S16" i="14"/>
  <c r="S15" i="14"/>
  <c r="H16" i="14"/>
  <c r="H17" i="14"/>
  <c r="H21" i="14"/>
  <c r="H22" i="14"/>
  <c r="H23" i="14"/>
  <c r="H25" i="14"/>
  <c r="H26" i="14"/>
  <c r="H15" i="14"/>
  <c r="W20" i="16"/>
  <c r="X20" i="16" s="1"/>
  <c r="W17" i="16"/>
  <c r="X17" i="16" s="1"/>
  <c r="S20" i="13"/>
  <c r="Q20" i="13"/>
  <c r="O20" i="13"/>
  <c r="M20" i="13"/>
  <c r="K20" i="13"/>
  <c r="S19" i="13"/>
  <c r="Q19" i="13"/>
  <c r="O19" i="13"/>
  <c r="M19" i="13"/>
  <c r="K19" i="13"/>
  <c r="S18" i="13"/>
  <c r="Q18" i="13"/>
  <c r="O18" i="13"/>
  <c r="M18" i="13"/>
  <c r="K18" i="13"/>
  <c r="S17" i="13"/>
  <c r="Q17" i="13"/>
  <c r="O17" i="13"/>
  <c r="M17" i="13"/>
  <c r="K17" i="13"/>
  <c r="S15" i="13"/>
  <c r="Q15" i="13"/>
  <c r="O15" i="13"/>
  <c r="M15" i="13"/>
  <c r="K15" i="13"/>
  <c r="H17" i="13"/>
  <c r="H18" i="13"/>
  <c r="H19" i="13"/>
  <c r="H20" i="13"/>
  <c r="H15" i="13"/>
  <c r="S17" i="20"/>
  <c r="Q17" i="20"/>
  <c r="O17" i="20"/>
  <c r="M17" i="20"/>
  <c r="K17" i="20"/>
  <c r="S16" i="20"/>
  <c r="Q16" i="20"/>
  <c r="O16" i="20"/>
  <c r="M16" i="20"/>
  <c r="K16" i="20"/>
  <c r="S15" i="20"/>
  <c r="Q15" i="20"/>
  <c r="O15" i="20"/>
  <c r="M15" i="20"/>
  <c r="K15" i="20"/>
  <c r="H16" i="20"/>
  <c r="H17" i="20"/>
  <c r="H15" i="20"/>
  <c r="S15" i="21"/>
  <c r="S16" i="21"/>
  <c r="S19" i="21"/>
  <c r="S20" i="21"/>
  <c r="S21" i="21"/>
  <c r="S17" i="21"/>
  <c r="S18" i="21"/>
  <c r="Q15" i="21"/>
  <c r="Q16" i="21"/>
  <c r="Q19" i="21"/>
  <c r="Q20" i="21"/>
  <c r="Q21" i="21"/>
  <c r="Q17" i="21"/>
  <c r="Q18" i="21"/>
  <c r="O15" i="21"/>
  <c r="O16" i="21"/>
  <c r="O19" i="21"/>
  <c r="O20" i="21"/>
  <c r="O21" i="21"/>
  <c r="O17" i="21"/>
  <c r="O18" i="21"/>
  <c r="M15" i="21"/>
  <c r="M16" i="21"/>
  <c r="M19" i="21"/>
  <c r="M20" i="21"/>
  <c r="M21" i="21"/>
  <c r="M17" i="21"/>
  <c r="M18" i="21"/>
  <c r="K15" i="21"/>
  <c r="K16" i="21"/>
  <c r="K19" i="21"/>
  <c r="K20" i="21"/>
  <c r="K21" i="21"/>
  <c r="K17" i="21"/>
  <c r="K18" i="21"/>
  <c r="H15" i="21"/>
  <c r="H16" i="21"/>
  <c r="H19" i="21"/>
  <c r="H20" i="21"/>
  <c r="H21" i="21"/>
  <c r="H17" i="21"/>
  <c r="H18" i="21"/>
  <c r="W17" i="20"/>
  <c r="X17" i="20" s="1"/>
  <c r="T15" i="27" l="1"/>
  <c r="T18" i="21"/>
  <c r="U18" i="21" s="1"/>
  <c r="W18" i="21" s="1"/>
  <c r="X18" i="21" s="1"/>
  <c r="T22" i="14"/>
  <c r="U22" i="14" s="1"/>
  <c r="W22" i="14" s="1"/>
  <c r="X22" i="14" s="1"/>
  <c r="T25" i="14"/>
  <c r="U25" i="14" s="1"/>
  <c r="W25" i="14" s="1"/>
  <c r="X25" i="14" s="1"/>
  <c r="T25" i="19"/>
  <c r="U25" i="19" s="1"/>
  <c r="W25" i="19" s="1"/>
  <c r="X25" i="19" s="1"/>
  <c r="T21" i="19"/>
  <c r="U21" i="19" s="1"/>
  <c r="W21" i="19" s="1"/>
  <c r="X21" i="19" s="1"/>
  <c r="T17" i="19"/>
  <c r="U17" i="19" s="1"/>
  <c r="W17" i="19" s="1"/>
  <c r="X17" i="19" s="1"/>
  <c r="T16" i="14"/>
  <c r="U16" i="14" s="1"/>
  <c r="W16" i="14" s="1"/>
  <c r="X16" i="14" s="1"/>
  <c r="T27" i="14"/>
  <c r="U27" i="14" s="1"/>
  <c r="W27" i="14" s="1"/>
  <c r="X27" i="14" s="1"/>
  <c r="T16" i="13"/>
  <c r="U16" i="13" s="1"/>
  <c r="W16" i="13" s="1"/>
  <c r="X16" i="13" s="1"/>
  <c r="T26" i="19"/>
  <c r="U26" i="19" s="1"/>
  <c r="W26" i="19" s="1"/>
  <c r="X26" i="19" s="1"/>
  <c r="T16" i="26"/>
  <c r="U16" i="26" s="1"/>
  <c r="W16" i="26" s="1"/>
  <c r="X16" i="26" s="1"/>
  <c r="T18" i="26"/>
  <c r="U18" i="26" s="1"/>
  <c r="W18" i="26" s="1"/>
  <c r="X18" i="26" s="1"/>
  <c r="T24" i="14"/>
  <c r="U24" i="14" s="1"/>
  <c r="W24" i="14" s="1"/>
  <c r="X24" i="14" s="1"/>
  <c r="T19" i="27"/>
  <c r="T22" i="19"/>
  <c r="U22" i="19" s="1"/>
  <c r="W22" i="19" s="1"/>
  <c r="X22" i="19" s="1"/>
  <c r="T18" i="19"/>
  <c r="U18" i="19" s="1"/>
  <c r="W18" i="19" s="1"/>
  <c r="X18" i="19" s="1"/>
  <c r="T19" i="16"/>
  <c r="U19" i="16" s="1"/>
  <c r="W19" i="16" s="1"/>
  <c r="X19" i="16" s="1"/>
  <c r="T23" i="19"/>
  <c r="U23" i="19" s="1"/>
  <c r="W23" i="19" s="1"/>
  <c r="X23" i="19" s="1"/>
  <c r="T19" i="19"/>
  <c r="U19" i="19" s="1"/>
  <c r="W19" i="19" s="1"/>
  <c r="X19" i="19" s="1"/>
  <c r="T20" i="21"/>
  <c r="U20" i="21" s="1"/>
  <c r="W20" i="21" s="1"/>
  <c r="X20" i="21" s="1"/>
  <c r="T24" i="19"/>
  <c r="U24" i="19" s="1"/>
  <c r="W24" i="19" s="1"/>
  <c r="X24" i="19" s="1"/>
  <c r="T20" i="19"/>
  <c r="U20" i="19" s="1"/>
  <c r="W20" i="19" s="1"/>
  <c r="X20" i="19" s="1"/>
  <c r="T16" i="19"/>
  <c r="U16" i="19" s="1"/>
  <c r="W16" i="19" s="1"/>
  <c r="X16" i="19" s="1"/>
  <c r="T18" i="14"/>
  <c r="U18" i="14" s="1"/>
  <c r="W18" i="14" s="1"/>
  <c r="X18" i="14" s="1"/>
  <c r="T19" i="21"/>
  <c r="U19" i="21" s="1"/>
  <c r="W19" i="21" s="1"/>
  <c r="X19" i="21" s="1"/>
  <c r="T17" i="20"/>
  <c r="T15" i="28"/>
  <c r="U15" i="28" s="1"/>
  <c r="W15" i="28" s="1"/>
  <c r="X15" i="28" s="1"/>
  <c r="T18" i="27"/>
  <c r="U18" i="27" s="1"/>
  <c r="W18" i="27" s="1"/>
  <c r="X18" i="27" s="1"/>
  <c r="T18" i="18"/>
  <c r="U18" i="18" s="1"/>
  <c r="W18" i="18" s="1"/>
  <c r="X18" i="18" s="1"/>
  <c r="T19" i="18"/>
  <c r="U19" i="18" s="1"/>
  <c r="W19" i="18" s="1"/>
  <c r="X19" i="18" s="1"/>
  <c r="T19" i="14"/>
  <c r="U19" i="14" s="1"/>
  <c r="W19" i="14" s="1"/>
  <c r="X19" i="14" s="1"/>
  <c r="T15" i="26"/>
  <c r="U15" i="26" s="1"/>
  <c r="W15" i="26" s="1"/>
  <c r="X15" i="26" s="1"/>
  <c r="T17" i="26"/>
  <c r="U17" i="26" s="1"/>
  <c r="W17" i="26" s="1"/>
  <c r="X17" i="26" s="1"/>
  <c r="T18" i="16"/>
  <c r="U18" i="16" s="1"/>
  <c r="W18" i="16" s="1"/>
  <c r="X18" i="16" s="1"/>
  <c r="T16" i="27"/>
  <c r="T15" i="14"/>
  <c r="U15" i="14" s="1"/>
  <c r="W15" i="14" s="1"/>
  <c r="X15" i="14" s="1"/>
  <c r="T17" i="14"/>
  <c r="U17" i="14" s="1"/>
  <c r="W17" i="14" s="1"/>
  <c r="X17" i="14" s="1"/>
  <c r="T21" i="14"/>
  <c r="U21" i="14" s="1"/>
  <c r="W21" i="14" s="1"/>
  <c r="X21" i="14" s="1"/>
  <c r="T15" i="16"/>
  <c r="T16" i="16"/>
  <c r="T17" i="16"/>
  <c r="T15" i="17"/>
  <c r="U15" i="17" s="1"/>
  <c r="W15" i="17" s="1"/>
  <c r="X15" i="17" s="1"/>
  <c r="T16" i="17"/>
  <c r="U16" i="17" s="1"/>
  <c r="W16" i="17" s="1"/>
  <c r="X16" i="17" s="1"/>
  <c r="T15" i="18"/>
  <c r="U15" i="18" s="1"/>
  <c r="W15" i="18" s="1"/>
  <c r="X15" i="18" s="1"/>
  <c r="T16" i="18"/>
  <c r="U16" i="18" s="1"/>
  <c r="W16" i="18" s="1"/>
  <c r="X16" i="18" s="1"/>
  <c r="T15" i="19"/>
  <c r="U15" i="19" s="1"/>
  <c r="W15" i="19" s="1"/>
  <c r="X15" i="19" s="1"/>
  <c r="T17" i="25"/>
  <c r="U17" i="25" s="1"/>
  <c r="W17" i="25" s="1"/>
  <c r="X17" i="25" s="1"/>
  <c r="T15" i="31"/>
  <c r="T18" i="31"/>
  <c r="U18" i="31" s="1"/>
  <c r="W18" i="31" s="1"/>
  <c r="X18" i="31" s="1"/>
  <c r="T17" i="31"/>
  <c r="U17" i="31" s="1"/>
  <c r="W17" i="31" s="1"/>
  <c r="X17" i="31" s="1"/>
  <c r="T16" i="31"/>
  <c r="U16" i="31" s="1"/>
  <c r="W16" i="31" s="1"/>
  <c r="X16" i="31" s="1"/>
  <c r="T21" i="21"/>
  <c r="U21" i="21" s="1"/>
  <c r="W21" i="21" s="1"/>
  <c r="X21" i="21" s="1"/>
  <c r="T15" i="21"/>
  <c r="U15" i="21" s="1"/>
  <c r="W15" i="21" s="1"/>
  <c r="X15" i="21" s="1"/>
  <c r="T15" i="20"/>
  <c r="U15" i="20" s="1"/>
  <c r="W15" i="20" s="1"/>
  <c r="X15" i="20" s="1"/>
  <c r="T16" i="20"/>
  <c r="T15" i="13"/>
  <c r="U15" i="13" s="1"/>
  <c r="W15" i="13" s="1"/>
  <c r="X15" i="13" s="1"/>
  <c r="T18" i="13"/>
  <c r="U18" i="13" s="1"/>
  <c r="W18" i="13" s="1"/>
  <c r="X18" i="13" s="1"/>
  <c r="T19" i="13"/>
  <c r="U19" i="13" s="1"/>
  <c r="W19" i="13" s="1"/>
  <c r="X19" i="13" s="1"/>
  <c r="T20" i="13"/>
  <c r="U20" i="13" s="1"/>
  <c r="W20" i="13" s="1"/>
  <c r="X20" i="13" s="1"/>
  <c r="T16" i="28"/>
  <c r="U16" i="28" s="1"/>
  <c r="W16" i="28" s="1"/>
  <c r="X16" i="28" s="1"/>
  <c r="T17" i="27"/>
  <c r="U17" i="27" s="1"/>
  <c r="W17" i="27" s="1"/>
  <c r="X17" i="27" s="1"/>
  <c r="T18" i="25"/>
  <c r="T15" i="25"/>
  <c r="T20" i="25"/>
  <c r="U20" i="25" s="1"/>
  <c r="W20" i="25" s="1"/>
  <c r="X20" i="25" s="1"/>
  <c r="T16" i="25"/>
  <c r="T19" i="25"/>
  <c r="U19" i="25" s="1"/>
  <c r="W19" i="25" s="1"/>
  <c r="X19" i="25" s="1"/>
  <c r="T22" i="21"/>
  <c r="U22" i="21" s="1"/>
  <c r="W22" i="21" s="1"/>
  <c r="X22" i="21" s="1"/>
  <c r="T23" i="14"/>
  <c r="U23" i="14" s="1"/>
  <c r="W23" i="14" s="1"/>
  <c r="X23" i="14" s="1"/>
  <c r="T20" i="16"/>
  <c r="T26" i="14"/>
  <c r="U26" i="14" s="1"/>
  <c r="W26" i="14" s="1"/>
  <c r="X26" i="14" s="1"/>
  <c r="T17" i="18"/>
  <c r="U17" i="18" s="1"/>
  <c r="W17" i="18" s="1"/>
  <c r="X17" i="18" s="1"/>
  <c r="T17" i="21"/>
  <c r="U17" i="21" s="1"/>
  <c r="W17" i="21" s="1"/>
  <c r="X17" i="21" s="1"/>
  <c r="T16" i="21"/>
  <c r="U16" i="21" s="1"/>
  <c r="W16" i="21" s="1"/>
  <c r="X16" i="21" s="1"/>
  <c r="T17" i="13"/>
  <c r="U17" i="13" s="1"/>
  <c r="W17" i="13" s="1"/>
  <c r="X17" i="13" s="1"/>
  <c r="T28" i="14"/>
  <c r="U28" i="14" s="1"/>
  <c r="W28" i="14" s="1"/>
  <c r="X28" i="14" s="1"/>
  <c r="U15" i="25" l="1"/>
  <c r="W15" i="25" s="1"/>
  <c r="X15" i="25" s="1"/>
  <c r="U16" i="25"/>
  <c r="W16" i="25" s="1"/>
  <c r="X16" i="25" s="1"/>
</calcChain>
</file>

<file path=xl/sharedStrings.xml><?xml version="1.0" encoding="utf-8"?>
<sst xmlns="http://schemas.openxmlformats.org/spreadsheetml/2006/main" count="2711" uniqueCount="663">
  <si>
    <t>ANÁLISIS DEL RIESGO</t>
  </si>
  <si>
    <t>NUEVA CALIFICACIÓN</t>
  </si>
  <si>
    <t>PROBABILIDAD (1-5)</t>
  </si>
  <si>
    <t>IMPACTO (1-5)</t>
  </si>
  <si>
    <t>ZONA RIESGO</t>
  </si>
  <si>
    <t>DESCRIPCIÓN (Control al riesgo)</t>
  </si>
  <si>
    <t>PROBABILIDAD</t>
  </si>
  <si>
    <t>IMPACTO</t>
  </si>
  <si>
    <t>NUEVA EVALUACIÓN</t>
  </si>
  <si>
    <t>RESPONSABLE</t>
  </si>
  <si>
    <t>FECHA DE SEGUIMIENTO 1
30/abril</t>
  </si>
  <si>
    <t>OBSERVACIONES</t>
  </si>
  <si>
    <t>FECHA DE SEGUIMIENTO 2
30/ago</t>
  </si>
  <si>
    <t>FECHA DE SEGUIMIENTO 3
31/dici</t>
  </si>
  <si>
    <t>CONTROLES</t>
  </si>
  <si>
    <t>ZONA DE RIESGO (R. RESIDUAL)</t>
  </si>
  <si>
    <t>INDICADORES y/o FECHA DE IMPLEMENTACION</t>
  </si>
  <si>
    <t>Establecer claramente la custodia de los títulos valores y los responsables de la mismos, contar con sitios adecuados para tal fin.</t>
  </si>
  <si>
    <t>Area de Tesoreria</t>
  </si>
  <si>
    <t>Aplicar las normas generales de archivo</t>
  </si>
  <si>
    <t>No de doc  perdidos o deteriorados/ total de documentos solicitados y recibidos</t>
  </si>
  <si>
    <t>Oficina Asesora de Control Interno del Infider</t>
  </si>
  <si>
    <t>Desconocimiento del tema de Control Interno por parte de quienes contestan la encuesta.</t>
  </si>
  <si>
    <t>Falta de portafolio de evidencias de las auditorías internas</t>
  </si>
  <si>
    <t>No socializar con el auditado el informe preliminar de las auditorías internas</t>
  </si>
  <si>
    <t>Comité de Gerencia</t>
  </si>
  <si>
    <t>Pérdida y mutilación de expedientes</t>
  </si>
  <si>
    <t>Oficina Asesora Jurídica</t>
  </si>
  <si>
    <t>Incumplimiento en los procedimientos de contratación</t>
  </si>
  <si>
    <t>Falta de aprovisionamiento en cuentas corrientes</t>
  </si>
  <si>
    <t>Secretaria - DAF</t>
  </si>
  <si>
    <t>Mantener permanente comunicación con el cliente interno de la entidad, atendiendo sus requeriminetos e inquietudes</t>
  </si>
  <si>
    <t xml:space="preserve">Revisión periodica de los objetivos establecidos para el desarrollo de las funciones </t>
  </si>
  <si>
    <t>Documentar la ejecución de los objetivos laborales</t>
  </si>
  <si>
    <t>Verificación periodica del estado de las copias de seguridad</t>
  </si>
  <si>
    <t>Realizar un cronograma de realización de copias de seguridad, igualmente de verificación y estado de las mismas.</t>
  </si>
  <si>
    <t>X</t>
  </si>
  <si>
    <t>ID</t>
  </si>
  <si>
    <t>Escala</t>
  </si>
  <si>
    <t>Probabilidad de ocurrencia</t>
  </si>
  <si>
    <t>Raro</t>
  </si>
  <si>
    <t>2 o menos veces al año</t>
  </si>
  <si>
    <t>Improbable</t>
  </si>
  <si>
    <t xml:space="preserve">Entre 3 y 4 veces al año </t>
  </si>
  <si>
    <t>Posible</t>
  </si>
  <si>
    <t xml:space="preserve">Entre 5 y 10 veces al año </t>
  </si>
  <si>
    <t>Probable</t>
  </si>
  <si>
    <t>Entre 11 y 24 veces al año</t>
  </si>
  <si>
    <t>Casi Seguro</t>
  </si>
  <si>
    <t>Más de 24 veces al año</t>
  </si>
  <si>
    <t>No significativo (1)</t>
  </si>
  <si>
    <t>Menor (2)</t>
  </si>
  <si>
    <t>Moderado (3)</t>
  </si>
  <si>
    <t>Mayor (4)</t>
  </si>
  <si>
    <t>Catastrófico (5)</t>
  </si>
  <si>
    <t>B</t>
  </si>
  <si>
    <t>M</t>
  </si>
  <si>
    <t>A</t>
  </si>
  <si>
    <t>E</t>
  </si>
  <si>
    <t>SEVERIDAD</t>
  </si>
  <si>
    <t>ESTRATEGIA</t>
  </si>
  <si>
    <t>Asumir y monitoreo</t>
  </si>
  <si>
    <t>Asumir, mitigar el riesgo</t>
  </si>
  <si>
    <t>Plan de Acción para mitigar, evitar, compartir o transferir el riesgo.</t>
  </si>
  <si>
    <t>Acción inmediata para mitigar, evitar, compartir o transferir el riesgo.</t>
  </si>
  <si>
    <t>Preventivo</t>
  </si>
  <si>
    <t>FORMA DE REALIZACIÓN</t>
  </si>
  <si>
    <t>Realización</t>
  </si>
  <si>
    <t>Automático</t>
  </si>
  <si>
    <t>Manual</t>
  </si>
  <si>
    <t>Calif</t>
  </si>
  <si>
    <t>Tipo</t>
  </si>
  <si>
    <t>Detectivo</t>
  </si>
  <si>
    <t>Persuasivo</t>
  </si>
  <si>
    <t>Correctivo</t>
  </si>
  <si>
    <t>Estado</t>
  </si>
  <si>
    <t>Implementado y documentado</t>
  </si>
  <si>
    <t>Implementado y no documentado</t>
  </si>
  <si>
    <t>No implementado y documentado</t>
  </si>
  <si>
    <t>En desarrollo</t>
  </si>
  <si>
    <t>Ejecución</t>
  </si>
  <si>
    <t>Siempre</t>
  </si>
  <si>
    <t>La mayoría de veces</t>
  </si>
  <si>
    <t>Algunas veces</t>
  </si>
  <si>
    <t>Nunca</t>
  </si>
  <si>
    <t>Evidencia</t>
  </si>
  <si>
    <t>En medios digitales</t>
  </si>
  <si>
    <t>Física y Digital</t>
  </si>
  <si>
    <t>Solo física</t>
  </si>
  <si>
    <t>No se evidencia</t>
  </si>
  <si>
    <t>Calificación</t>
  </si>
  <si>
    <t>TIPO DE CONTROL</t>
  </si>
  <si>
    <t>ESTADO DEL CONTROL</t>
  </si>
  <si>
    <t>EJECUCIÓN</t>
  </si>
  <si>
    <t>EVIDENCIA</t>
  </si>
  <si>
    <t>% Mitigación</t>
  </si>
  <si>
    <t>Desplaza</t>
  </si>
  <si>
    <t>Director Administrativo y financiero</t>
  </si>
  <si>
    <t>Profesional de cartera</t>
  </si>
  <si>
    <t>Jefe Oficina Asesora jurídica</t>
  </si>
  <si>
    <t>Control de complementación por parte del analista de crédito.</t>
  </si>
  <si>
    <t>Director Administrativo y Financiero y analista de crédito</t>
  </si>
  <si>
    <t>Número de solicitudes inconsistentes/ total de solicitudes radicadas en el trimestre</t>
  </si>
  <si>
    <t>NA</t>
  </si>
  <si>
    <t>Comité de Crédito, Director Administrativo y Financiero y analista de crédito</t>
  </si>
  <si>
    <t>Hacer conciliaciones periódicas aleatorias (triemestrales), entre las actas de comité de crédito, los documentos de deber y el aplicativo de crédito y cartera</t>
  </si>
  <si>
    <t>Semiautomático</t>
  </si>
  <si>
    <t>Profesional de cartera y Jefe oficina asesora jurídica</t>
  </si>
  <si>
    <t>Profesionales Comerciales y analista de crédito</t>
  </si>
  <si>
    <t>Con base en las tasas de rentabilidad, establecer condiciones financieras flexibles para competir con el sistema bancario, optimizando el margen de intermediación.</t>
  </si>
  <si>
    <t>CALIFICACIÓN</t>
  </si>
  <si>
    <t>Complementario al análisis de los requisitos, se debe realizar la verificación del cálculo de los indicadores, conforme lo establece el SARC Verificar el cumplimiento de los indicadores de Ley, y demás exigencias en endeudamiento público</t>
  </si>
  <si>
    <t>En el análisis de la factura, se verifica para el endoso  el cumlimiento de la Ley 1231 de 2008.</t>
  </si>
  <si>
    <t>Lideres de proceso</t>
  </si>
  <si>
    <t>Director administrativo y financiero, profesional de cartera, jefe oficina asesora jurídica y tesorera</t>
  </si>
  <si>
    <t>Realización de conciliaciones con las diferentes áreas.</t>
  </si>
  <si>
    <t>Profesional especializada contabilidad y presupuesto, profesional de cartera, jefe oficina asesora jurídica y tesorera</t>
  </si>
  <si>
    <t>Permanente</t>
  </si>
  <si>
    <t>No se realizan pagos hasta que los documentos soportes estén completos</t>
  </si>
  <si>
    <t>Responsable de sistemas</t>
  </si>
  <si>
    <t>Se solicitan certificados de disponibilidad vía sistema de información IAS solution</t>
  </si>
  <si>
    <t>Tesorera</t>
  </si>
  <si>
    <t>Se lleva un formato de prestamo de documentos</t>
  </si>
  <si>
    <t>Técnico operativo</t>
  </si>
  <si>
    <t>Validación aleatoria de liquidación de intereses contra el sistema IAS.</t>
  </si>
  <si>
    <t>Número de verificacioens mensuales</t>
  </si>
  <si>
    <t>Se cuenta con administrador de los portales y se tiene aprobación dual para las operaciones en los portales bancarios</t>
  </si>
  <si>
    <t>Se revisan documentos y se devuelven al área de presupuesto</t>
  </si>
  <si>
    <t>Se lleverá una minuta para recepción y devolución de cuentas</t>
  </si>
  <si>
    <t>Tesorea</t>
  </si>
  <si>
    <t>Se hacen solicitudes verbales para el aporte oportuno de la información</t>
  </si>
  <si>
    <t xml:space="preserve">Falla en la creación o recuperación de las copias de seguridad </t>
  </si>
  <si>
    <t>Cumplimiento</t>
  </si>
  <si>
    <t>Diseñar formato para efectuar un chequeo de los documentos soportes requeridos</t>
  </si>
  <si>
    <t>Se construye el plan Financiero  por las áreas responsables</t>
  </si>
  <si>
    <t>Director administrativo y financiero, profesional especializada en contabilidad y presupuesto, tesorera</t>
  </si>
  <si>
    <t>Documentar todas las conciliaciones</t>
  </si>
  <si>
    <t>Técnico de tesorería y técnico de contabilidad</t>
  </si>
  <si>
    <t>Mejorar el uso del workmanager y el flujo de la información oportuna</t>
  </si>
  <si>
    <t>Plan de contingencia y continuidad del negocio</t>
  </si>
  <si>
    <t>Director administrativo y financiero y jefe oficina asesora jurídica</t>
  </si>
  <si>
    <t>permanente</t>
  </si>
  <si>
    <t>Se tiene contratada una profesional para el cumplimiento de la normas SG-SST</t>
  </si>
  <si>
    <t>Gerente y profesionales comerciales</t>
  </si>
  <si>
    <t xml:space="preserve">Director administrativo y financiero </t>
  </si>
  <si>
    <t>Se lleva y se hace seguimiento de cronograma de rendiciones de cuentas</t>
  </si>
  <si>
    <t>EVALUACIÓN</t>
  </si>
  <si>
    <t>Secretaria - DAF, Profesional espcializada Contadora</t>
  </si>
  <si>
    <t xml:space="preserve">Se realiza periódicamente comité de Inversiones </t>
  </si>
  <si>
    <t>Comité de Inversiones</t>
  </si>
  <si>
    <t>ID del evento</t>
  </si>
  <si>
    <t>Nombre el evento</t>
  </si>
  <si>
    <t>Fecha de descubrimiento</t>
  </si>
  <si>
    <t>Fecha de inicio</t>
  </si>
  <si>
    <t>Fecha de finalización (no obligatorio)</t>
  </si>
  <si>
    <r>
      <rPr>
        <sz val="7"/>
        <color theme="0"/>
        <rFont val="Times New Roman"/>
        <family val="1"/>
      </rPr>
      <t xml:space="preserve"> </t>
    </r>
    <r>
      <rPr>
        <sz val="12"/>
        <color theme="0"/>
        <rFont val="Calibri"/>
        <family val="2"/>
        <scheme val="minor"/>
      </rPr>
      <t>Fecha de contabilización (no obligatorio)</t>
    </r>
  </si>
  <si>
    <t>Tipo de impacto (cualitativo, cuantitativo)</t>
  </si>
  <si>
    <t>Cuantía estimada del impacto</t>
  </si>
  <si>
    <t>Cuantía total recuperada (no obligatorio)</t>
  </si>
  <si>
    <t>Cuantía recuperada por seguros (no obligatorio)</t>
  </si>
  <si>
    <r>
      <rPr>
        <sz val="7"/>
        <color theme="0"/>
        <rFont val="Times New Roman"/>
        <family val="1"/>
      </rPr>
      <t xml:space="preserve">  </t>
    </r>
    <r>
      <rPr>
        <sz val="12"/>
        <color theme="0"/>
        <rFont val="Calibri"/>
        <family val="2"/>
        <scheme val="minor"/>
      </rPr>
      <t>Categoría de riesgo</t>
    </r>
  </si>
  <si>
    <r>
      <rPr>
        <sz val="7"/>
        <color theme="0"/>
        <rFont val="Times New Roman"/>
        <family val="1"/>
      </rPr>
      <t xml:space="preserve"> </t>
    </r>
    <r>
      <rPr>
        <sz val="12"/>
        <color theme="0"/>
        <rFont val="Calibri"/>
        <family val="2"/>
        <scheme val="minor"/>
      </rPr>
      <t>Tipo de pérdida</t>
    </r>
  </si>
  <si>
    <r>
      <rPr>
        <sz val="7"/>
        <color theme="0"/>
        <rFont val="Times New Roman"/>
        <family val="1"/>
      </rPr>
      <t xml:space="preserve"> </t>
    </r>
    <r>
      <rPr>
        <sz val="12"/>
        <color theme="0"/>
        <rFont val="Calibri"/>
        <family val="2"/>
        <scheme val="minor"/>
      </rPr>
      <t>Área Impacta</t>
    </r>
  </si>
  <si>
    <t>1. De acuerdo al Manual SARC se otorgan  créditos a Servidores Públicos con plazos diferenciales, conforme la modalidad de vinculación laboral.
2. Propender por la realización convenios (acuerdos administrativos) con las entidades a las cuales se les hacen créditos de la línea de Servidores.</t>
  </si>
  <si>
    <t>NÚMERO</t>
  </si>
  <si>
    <t>1</t>
  </si>
  <si>
    <t>2</t>
  </si>
  <si>
    <t>3</t>
  </si>
  <si>
    <t>4</t>
  </si>
  <si>
    <t>5</t>
  </si>
  <si>
    <t>6</t>
  </si>
  <si>
    <t>7</t>
  </si>
  <si>
    <t>CAUSA</t>
  </si>
  <si>
    <t>Extravío o hurto de títulos valores</t>
  </si>
  <si>
    <t>Perdida de títulos valores</t>
  </si>
  <si>
    <t>Perdida de documentación soporte de operaciones</t>
  </si>
  <si>
    <t>Prestamos a otras áreas</t>
  </si>
  <si>
    <t>Incumplimiento de las condiciones de manejo establecidos por el cliente</t>
  </si>
  <si>
    <t xml:space="preserve">DESCRIPCIÓN DEL RIESGO </t>
  </si>
  <si>
    <t xml:space="preserve">Pago inexacto de intereses </t>
  </si>
  <si>
    <t>Errores en la liquidación de los depósitos, convenios y/o contratos</t>
  </si>
  <si>
    <t xml:space="preserve">Perdida de recursos </t>
  </si>
  <si>
    <t>Hurto en cuentas bancarias</t>
  </si>
  <si>
    <t xml:space="preserve">Perdida de dinero </t>
  </si>
  <si>
    <t xml:space="preserve">Incumplimiento en pagos </t>
  </si>
  <si>
    <t xml:space="preserve"> Aporte de información incompleta y  demora en la entrega</t>
  </si>
  <si>
    <t>No tener en cuenta la metodología del instructivo del DAFP para los reportes</t>
  </si>
  <si>
    <t>Deficiencias en el reporte de la información del estado del Sistema de Control Interno (FURAG II) al Departamento Administrativo de la Función Pública, DAFP.</t>
  </si>
  <si>
    <t>Falta de capacitación a los funcionarios que diligencian la encuesta del FURAC II</t>
  </si>
  <si>
    <t>Se realiza capacitación a los funcionarios responsables de rendir la información</t>
  </si>
  <si>
    <t>Capacitaciones recibidas /Capacitaciones ofrecidas por el DAFP</t>
  </si>
  <si>
    <t>Omisión en la inclusión de algunos procesos de la entidad en la planeación de la auditoría interna</t>
  </si>
  <si>
    <t xml:space="preserve">Un Reporte deficiente de las auditoría internas </t>
  </si>
  <si>
    <t>Demora y desconocimiento en el aporte de la  información al auditor.</t>
  </si>
  <si>
    <t xml:space="preserve">En el manual de auditoría del INFIDER y en el respectivo plan de auditoría interna, se encuentra la metodología a utilizar, además esta es socializada  con los funcionarios involucrados en los procesos para la entrega de la información pertinente                             </t>
  </si>
  <si>
    <t>Auditoría Planeada y Socializada / Planeación de Auditoría</t>
  </si>
  <si>
    <t>Contratiempos en la realización de la auditoria interna</t>
  </si>
  <si>
    <t>En la planeación de la auditoría se define la documentación que soportará las evidencias</t>
  </si>
  <si>
    <t>Documentación aportada / documentación solicitada</t>
  </si>
  <si>
    <t>Se rinde la información del estado de Control Interno (FURAGII) con base en el instructivo emitido por el DAFP.</t>
  </si>
  <si>
    <t>Retiro o despido de servidores públicos</t>
  </si>
  <si>
    <t>No opera el descuento al deudor Principal por falta de capacidad</t>
  </si>
  <si>
    <t>Recurso Humano</t>
  </si>
  <si>
    <t>Procesos</t>
  </si>
  <si>
    <t>Tecnología</t>
  </si>
  <si>
    <t>Infraestructura</t>
  </si>
  <si>
    <t xml:space="preserve"> Incumplimiento en operaciones de crédito de consumo (Descuento por libranza servidores públicos)</t>
  </si>
  <si>
    <t>N/A</t>
  </si>
  <si>
    <t xml:space="preserve">Incumplimiento del servicio a la deuda de las operaciones de crédito </t>
  </si>
  <si>
    <t xml:space="preserve">Incumplimiento en el pago en los descuentos de actas y facturas </t>
  </si>
  <si>
    <t>Inobservacia en el cumplimiento de la normatividad (Ley 1231 de 2008 y demás normas que modfiquen, reglamenten o adicionen)</t>
  </si>
  <si>
    <t>Número de créditos de entidaes públicas incumplidos / número de créditos desembolsados a entidadess públicas.</t>
  </si>
  <si>
    <t xml:space="preserve">Número de operaciones de descuento de actas y facturas incumplidas por inobservacia de la LEY 1231 de 2008 /  número de operaciones efectuadas de descuento de actas y  facturas </t>
  </si>
  <si>
    <t xml:space="preserve">Errores en el registro de las operaciones de crédito (Tasa, plazo, forma de pago) </t>
  </si>
  <si>
    <t xml:space="preserve">Inconsistencias en los valores recaudados y/o causados por operaciones de crédito </t>
  </si>
  <si>
    <t>Operaciones de crédito con inconsistencias en el recaudo o causación / Operaciones de crédito vigentes</t>
  </si>
  <si>
    <t>Extravío o hurto.</t>
  </si>
  <si>
    <t xml:space="preserve">Incremento de la cartera vencida </t>
  </si>
  <si>
    <t>Deficiencias en las acciones de recuperación</t>
  </si>
  <si>
    <t>Comité técnico de evaluación y calificación de cartera</t>
  </si>
  <si>
    <t xml:space="preserve">Disminución de ingresos operacionales </t>
  </si>
  <si>
    <t>Bajas significativas en las Tasas de Interés</t>
  </si>
  <si>
    <t xml:space="preserve">Disminución en las operaciones de colocación </t>
  </si>
  <si>
    <t>Agresividad Bancaria</t>
  </si>
  <si>
    <t xml:space="preserve">Pérdida de los documentos soportes diferentes de los títulos valores de los préstamos otorgados </t>
  </si>
  <si>
    <t>Profesionalde cartera</t>
  </si>
  <si>
    <t>Se custodian los títulos y chequeras en caja fuerte. Adicional se realizan arqueos periódicos de los títulos custodiados en tesorería y de las chequeras</t>
  </si>
  <si>
    <t>Documentos registrados en la minuta de prestamos de documentos a otras áreas / Documentos extraviados por préstamos a otra áreas</t>
  </si>
  <si>
    <t xml:space="preserve">Giro de recursos indebido </t>
  </si>
  <si>
    <t>Se verifica en el sistema de información IAS Solution a través del visado de firmas que permite la verificación de las condiciones de manejo</t>
  </si>
  <si>
    <t>Incumplimiento en los procedimientos del Sistema de Administración de Riesgo de Mercado</t>
  </si>
  <si>
    <t>Inconsistencias en los pagos en la seguridad social.</t>
  </si>
  <si>
    <t>Sanciones pecuniairas</t>
  </si>
  <si>
    <t>Vencimiento de terminos para envío de información a los entes de control</t>
  </si>
  <si>
    <t>N° informes extemporáneos /N° de informes a presentar</t>
  </si>
  <si>
    <t xml:space="preserve">Retrasos en los procesos de contratación </t>
  </si>
  <si>
    <t xml:space="preserve">Desabastecimiento de materiales y suministros </t>
  </si>
  <si>
    <t xml:space="preserve">Demandas o sanciones laborales </t>
  </si>
  <si>
    <t>Incumplimiento de las normas sobre salud y seguiridad en el trabajo. SST</t>
  </si>
  <si>
    <t>Plan de compras y PAC</t>
  </si>
  <si>
    <t xml:space="preserve">Insatisfacción de los servicios </t>
  </si>
  <si>
    <t xml:space="preserve">Falta de medición del nivel de satisfacción de los usuarios internos de los servicios </t>
  </si>
  <si>
    <t>Diseñar y aplicar por lo menos 2 veces al año una encuesta de satisfacción al cliente</t>
  </si>
  <si>
    <t xml:space="preserve">Resultados imprecisos de las evaluaciones de desempeño 
</t>
  </si>
  <si>
    <t>Inadecuada aplicación de los instrumentos de concertación de compromisos y evaluación del desempeño</t>
  </si>
  <si>
    <t xml:space="preserve">Extemporaneidad en el pago de los servicios públicos </t>
  </si>
  <si>
    <t>Se hace control mensual de pago de los servicos públicos</t>
  </si>
  <si>
    <t>N° facturas pagadas extemporaneas / N° facturas a pagar</t>
  </si>
  <si>
    <t>Acceso a las aplicaciones del sistema IAS por parte de personas no autorizadas</t>
  </si>
  <si>
    <t>Fraudes al sistema de información financiera</t>
  </si>
  <si>
    <t xml:space="preserve">Expedir certificados de disponibilidad sin soportes adecuados </t>
  </si>
  <si>
    <t xml:space="preserve">Por solicitud  de Certificados Presupuestales Verbales </t>
  </si>
  <si>
    <t>Profesional Especializada (contador), Técnico de presupuesto</t>
  </si>
  <si>
    <t xml:space="preserve">Revelación extemporanea de la información contable y financiera </t>
  </si>
  <si>
    <t>Fallas en el Sistema de Información Financiero</t>
  </si>
  <si>
    <t>Giro de recursos con insuficiencia de fondos.</t>
  </si>
  <si>
    <t>Falta de aprovisionamiento en cuentas corrientes.</t>
  </si>
  <si>
    <t>Incumplimiento de pagos</t>
  </si>
  <si>
    <t xml:space="preserve">Seguimieto al Flujo de Caja </t>
  </si>
  <si>
    <t>Disminución de ingresos</t>
  </si>
  <si>
    <t>Activar Plan de Contingencia Riesgo de Liquidez</t>
  </si>
  <si>
    <t>Realizar activos fijos</t>
  </si>
  <si>
    <t>Consejo Directivo y Gerente</t>
  </si>
  <si>
    <t>Director Administrativo y Financiero y Tesorero</t>
  </si>
  <si>
    <t>Falta de seguimiento al IRL</t>
  </si>
  <si>
    <t>Seguimiento al IRL</t>
  </si>
  <si>
    <t>Validación del indicador IRL en el sistema de información</t>
  </si>
  <si>
    <t>Daños, deterioro o pérdida de los recursos tecnológicos</t>
  </si>
  <si>
    <t>Humedad producida por sistemas de refrigeración inadecuados y/o filtraciones de agua en el datacenter</t>
  </si>
  <si>
    <t>Gerente y responsable de sistemas</t>
  </si>
  <si>
    <t>MONITOREO Y CONTROL</t>
  </si>
  <si>
    <t>8</t>
  </si>
  <si>
    <t>9</t>
  </si>
  <si>
    <t>10</t>
  </si>
  <si>
    <t>11</t>
  </si>
  <si>
    <r>
      <rPr>
        <sz val="12"/>
        <rFont val="Calibri"/>
        <family val="2"/>
        <scheme val="minor"/>
      </rPr>
      <t>Información financiera inoportuna</t>
    </r>
    <r>
      <rPr>
        <sz val="12"/>
        <color theme="1"/>
        <rFont val="Calibri"/>
        <family val="2"/>
        <scheme val="minor"/>
      </rPr>
      <t xml:space="preserve"> </t>
    </r>
  </si>
  <si>
    <t>Retrasos en el aporte y calidad de la información física y digital</t>
  </si>
  <si>
    <t>Establecer mediante acto administrativo tiempos de entrega de información para cierres de periodos</t>
  </si>
  <si>
    <t xml:space="preserve">Pérdida de información </t>
  </si>
  <si>
    <t>Extravío y deterioro de documentos fuente y soporte</t>
  </si>
  <si>
    <t xml:space="preserve">Revelación contable insuficiente </t>
  </si>
  <si>
    <t>Operaciones financieras, económicas y sociales no registradas en los libros de contabilidad</t>
  </si>
  <si>
    <t xml:space="preserve">Presupuesto sobrestimado </t>
  </si>
  <si>
    <t>falta de planeación y coordinación en su elaboración.</t>
  </si>
  <si>
    <t>Información contable y presupuestal con inconsistencias.</t>
  </si>
  <si>
    <t xml:space="preserve">Retrasos en los pagos de cuentas por pagar </t>
  </si>
  <si>
    <t xml:space="preserve">Información soporte incompleta </t>
  </si>
  <si>
    <t>Asignación de claves individuales a los usuarios y cambios trimestrales de estas</t>
  </si>
  <si>
    <t>PLAN DE ACCION (TRATAMIENTO)</t>
  </si>
  <si>
    <t>OPCIONES MANEJO (asumir o reducir)</t>
  </si>
  <si>
    <t>Se custodian los títulos en caja fuerte. Adicional se realizan arqueos periódicos de los títulos custodiados en tesorería.</t>
  </si>
  <si>
    <t>Incumplimiento de la Normatividad en materia de Inversiones</t>
  </si>
  <si>
    <t>Sobrepaso de límites en inversiones</t>
  </si>
  <si>
    <t>Inobservacia de la políticas en materia de límites</t>
  </si>
  <si>
    <t>Se realiza Comité de Inversiones, instancia en l cuál se recomiendan las inversiones, previo la presentación por parte del Director Admninistrativo y Financiero</t>
  </si>
  <si>
    <t>Seguimiento a los límites de inversiones</t>
  </si>
  <si>
    <t>Mesualmente en el Comité de Inversiones, el Tesorero presenta la claisficaciones de las inversiones por emisor y calificación.</t>
  </si>
  <si>
    <t>Tesorera y Comité de Inversiones</t>
  </si>
  <si>
    <t>Disminución en los rendimientos de las Inversiones</t>
  </si>
  <si>
    <t>Mensualmente en el comité de inversiones se revisa los margenes financieros, estableciendo ajustes en el portafolio de inversiones.</t>
  </si>
  <si>
    <t>Disminución de ingresos operacionales</t>
  </si>
  <si>
    <t>Número de funcionarios capacitados / Capacitaciones programadas</t>
  </si>
  <si>
    <t>Incurrir en intereses moratorios</t>
  </si>
  <si>
    <t xml:space="preserve">Se realiza mensualmente comité de Inversiones </t>
  </si>
  <si>
    <t>Anualmente se realizan las encuestas de necesiades de capacitación, las cuales se presenten y se aprueban en la comisión de personal, de acuerdo con los recursos asignados en el presupuesto.</t>
  </si>
  <si>
    <t>Deficienciencias en el desempeño de los funcionarios en su rol</t>
  </si>
  <si>
    <t>Falta de capacitación</t>
  </si>
  <si>
    <t>Auditoría Ineficaz</t>
  </si>
  <si>
    <t>En el manual de auditoría y en la planeación de la misma se encuentra descrito cómo debe ser la socialización del informe preliminar con el auditado</t>
  </si>
  <si>
    <t>Informes preliminares socializado / Informes preliminares</t>
  </si>
  <si>
    <t>Presentación por parte de la Oficina de Control Interno, la planeación de la auditoría, incluyendo todos los procesos al Comité Institucional de Control Interno</t>
  </si>
  <si>
    <t>Resultados ineficaces del plan estratégico</t>
  </si>
  <si>
    <t>Está definido el procedimiento de planeación estratégica, el cual establece actividades de: seguimiento, frecuencias y modificaciones del contexto de la organización, el Plan Estratégico, objetivos y metas</t>
  </si>
  <si>
    <t>Materialización del riesgo de liquidez</t>
  </si>
  <si>
    <t>Incremento en la cartera morosa</t>
  </si>
  <si>
    <t>Falta de seguimiento a las operaciones de crédito</t>
  </si>
  <si>
    <t>El Manual SARC establece los informes y periodicidad del seguimiento y control a las operaciones de crédito.</t>
  </si>
  <si>
    <t>Director Técnico en Administración de Riesgos.</t>
  </si>
  <si>
    <t>Políticas  de Crédito ineficaces</t>
  </si>
  <si>
    <t>Director Técnico en Administración de Riesgos y Comité de Riesgos</t>
  </si>
  <si>
    <t>El Comité de Riesgos se reune mensualmente con el fin de revisar los resultados de la evaluaciones de riesgo de crédito. En esta instancia se determina el ajuste a las políticas de otorgamiento para posteriormente persentarlas al Consejo Directivo</t>
  </si>
  <si>
    <t>Deterioro de la garantía (pignoración de rentas)</t>
  </si>
  <si>
    <t xml:space="preserve">La garantía no alcanza a cubrir el servicio de la deuda  </t>
  </si>
  <si>
    <t>Número de garantías anlizadas / número de grantías de créditos vigentes</t>
  </si>
  <si>
    <t>Dterioro del portafolio de inversiones</t>
  </si>
  <si>
    <t>Falta de seguimiento al Valor en Riesgo de los Activos</t>
  </si>
  <si>
    <t>Está plasmado en el Manual SARM, el cálculo del VaR. Esta operación se hace por medio del sistema de Información IAS Solution</t>
  </si>
  <si>
    <t>Vinculación de un cliente reportado en listas restrictivas</t>
  </si>
  <si>
    <t>Conforme lo dispone el Manual SARC, se hace seguimiento semestral a las garantías y posteriormente se presenta al Comité Técnico de Evaluación y calificación de Cartera</t>
  </si>
  <si>
    <t>Se tiene establecido un plan de capacitación en Lavado de Activos y Financiación del Terrorismo una vez al año.</t>
  </si>
  <si>
    <t>Análisis insuficiente del contexto interno y externo</t>
  </si>
  <si>
    <t>No registrar el proyecto en el banco de proyectos del Departamento</t>
  </si>
  <si>
    <t>Suspensión de inicio de ejcución de un proyecto</t>
  </si>
  <si>
    <t>Proyectos rechazados</t>
  </si>
  <si>
    <t xml:space="preserve">Desconocimiento en la estructuración de proyectos </t>
  </si>
  <si>
    <t>Estrategia para la estructuración, administración y ejecución de proyectos</t>
  </si>
  <si>
    <t xml:space="preserve">Materialización de las estrategias para la estructuración, administración y ejecución de proyectos </t>
  </si>
  <si>
    <t>Gerente</t>
  </si>
  <si>
    <t>Se tiene un procedimiento, en el que está establecido el registro del proyecto en el banco de proyectos del Departamento</t>
  </si>
  <si>
    <t>Proyectos con Registrados / Proyectos elaborados MGA</t>
  </si>
  <si>
    <t>En los planes de contingencia de riesgo de liquidez, está establecido la realización de activos fijos.</t>
  </si>
  <si>
    <t>Realización de activos fijos</t>
  </si>
  <si>
    <t>Consejo Directivo y Comité de Gerencia</t>
  </si>
  <si>
    <t>PROCESO:</t>
  </si>
  <si>
    <t>Colocación</t>
  </si>
  <si>
    <t>Gestión Estratégica</t>
  </si>
  <si>
    <t>Gestión del Talento Humano</t>
  </si>
  <si>
    <t>Captación</t>
  </si>
  <si>
    <t>Inversiones</t>
  </si>
  <si>
    <t>Gestión de Proyectos</t>
  </si>
  <si>
    <t>Gestión Contractual y Defensa Jurídica</t>
  </si>
  <si>
    <t>Gestión Administrativa</t>
  </si>
  <si>
    <t>Gestión Financiera</t>
  </si>
  <si>
    <t>Tecnologías de la Información</t>
  </si>
  <si>
    <t>Seguimiento y Evaluación al Desempeño Institucional</t>
  </si>
  <si>
    <t>Gestión de Riesgos</t>
  </si>
  <si>
    <t>Gestión del Riesgo</t>
  </si>
  <si>
    <t>Nro</t>
  </si>
  <si>
    <t>PLAN DE ACCIÓN (Tratamiento)</t>
  </si>
  <si>
    <t>RIESGOS CUBIERTOS</t>
  </si>
  <si>
    <t>FECHA DE IMPLEMENTACIÓN</t>
  </si>
  <si>
    <t>FECHA DE SEGUIMIENTO 1</t>
  </si>
  <si>
    <t>FECHA DE SEGUIMIENTO 2</t>
  </si>
  <si>
    <t>Gestión de Calidad</t>
  </si>
  <si>
    <t>Moderado</t>
  </si>
  <si>
    <t>Bajo</t>
  </si>
  <si>
    <t>Catastrófico</t>
  </si>
  <si>
    <t>Extrema</t>
  </si>
  <si>
    <t>Alta</t>
  </si>
  <si>
    <t xml:space="preserve">No significativo </t>
  </si>
  <si>
    <t xml:space="preserve">Menor </t>
  </si>
  <si>
    <t xml:space="preserve">Mayor </t>
  </si>
  <si>
    <t>CATEGORÍA</t>
  </si>
  <si>
    <t>FACTOR</t>
  </si>
  <si>
    <t>IDENTIFICACIÓN DEL RIESGO</t>
  </si>
  <si>
    <t>Situaciones externas</t>
  </si>
  <si>
    <t>Corrupción</t>
  </si>
  <si>
    <t>Situaciones políticas</t>
  </si>
  <si>
    <t>SG-SST</t>
  </si>
  <si>
    <t>LA/FT</t>
  </si>
  <si>
    <t>Fraude externo</t>
  </si>
  <si>
    <t>Fraude Interno</t>
  </si>
  <si>
    <t>Relaciones laborales</t>
  </si>
  <si>
    <t>Clientes</t>
  </si>
  <si>
    <t>Fallas tecnológicas</t>
  </si>
  <si>
    <t>Ejecución de procesos</t>
  </si>
  <si>
    <t>Daños en activos físicos</t>
  </si>
  <si>
    <t>Verificar que la información suministrada por el cliente ( desprendibles de pago) esten debidamente firmados y avalados por la entidad canal en cumplimiento a la Ley 1527 de 2012 sus adiciones y modificaciones</t>
  </si>
  <si>
    <t>Ausencia de conciliaciones</t>
  </si>
  <si>
    <t>Normatividad externa. Decreto 1068 de 2015</t>
  </si>
  <si>
    <t>Falsificación de firmas en los endosos de facturas</t>
  </si>
  <si>
    <t>Profesionales comerciales y profesional ed cartera</t>
  </si>
  <si>
    <t>Número de endosos de facturas autenticado o con testigo / Número de endosos de facturas.</t>
  </si>
  <si>
    <t>Las carpetas de las operaciones de crédito vigentes está centralizada, las custodia  la profesional de cartera.</t>
  </si>
  <si>
    <t>En el procedimiento se tiene establecido que, al suscribir el endoso se debe autenticar firmas en notaria, o en su defecto, debe estar presente en suscripción un funcionario del Infider que firma como testigo.</t>
  </si>
  <si>
    <t>Vencimientos de términos de procesos judiciales</t>
  </si>
  <si>
    <t>Perdida de recursos</t>
  </si>
  <si>
    <t>Se incluye en el plan de adquisiciones la contratación de un abogado externo para que realice la representación judicial que se le encomiende.</t>
  </si>
  <si>
    <t xml:space="preserve">Jefe Oficina Asesora </t>
  </si>
  <si>
    <t>Número de créditos por descuento de libranza con mora superior a 90 días / número de créditos por descuento de libranza</t>
  </si>
  <si>
    <t>Número de créditos por descuento de libranza con mora superior a 90 días / número de créditos que no opera el descuento por libranza</t>
  </si>
  <si>
    <t>COLOCACIÓN</t>
  </si>
  <si>
    <t>GESTIÓN ESTRATÉGICA</t>
  </si>
  <si>
    <t>INVERSIONES</t>
  </si>
  <si>
    <t>No conformidades en auditorias externas</t>
  </si>
  <si>
    <t>No conformidades repetitivas</t>
  </si>
  <si>
    <t>Falta de control de la documentación del SGC</t>
  </si>
  <si>
    <t>Ausencia de seguimientos y auditorias internas</t>
  </si>
  <si>
    <t>Análisis de causas mal elaborado</t>
  </si>
  <si>
    <t>Procedimientos sin implementar</t>
  </si>
  <si>
    <t>Falta de socialización y difusión</t>
  </si>
  <si>
    <t>Seguimiento al diligenciamiento de los planes de mejoramiento. Inclusión del tema "Planes de Mejoramiento y Análisis de Causas en el PIC".</t>
  </si>
  <si>
    <t>Socialización de todos los procedimientos dos veces al año.</t>
  </si>
  <si>
    <t>Dirección Administrativa y Financiera / Contratista de Planeación y Calidad</t>
  </si>
  <si>
    <t>Programación de Auditorias y seguimientos anuales con verificación por parte de la Oficina de Control Intetno</t>
  </si>
  <si>
    <t>Elaborar y aprobar cronograma para el seguimiento al diligenciamiento de los planes de mejoramiento y definir responsable</t>
  </si>
  <si>
    <t>Disminución de un 10% en las no conformidades con respecto a la auditoría anterior</t>
  </si>
  <si>
    <t>Procedimientos sin implementar / Procedimientos existentes</t>
  </si>
  <si>
    <t>Inoperancia en procedimientos</t>
  </si>
  <si>
    <t>Existe un procedimiento de control de la información documental</t>
  </si>
  <si>
    <t>Procedimientos desactualizados / Procedimientos existentes</t>
  </si>
  <si>
    <t>TIPO DE PERDIDA</t>
  </si>
  <si>
    <t>Generan pérdidas y afectan el estado de resultados de la entidad</t>
  </si>
  <si>
    <t>Generan pérdidas y no afectan el estado de resultados de la entidad</t>
  </si>
  <si>
    <t>No generan pérdidas y por lo tanto no afectan el estado de resultados de la entidad</t>
  </si>
  <si>
    <t>Existe formato de prestamo de documentos</t>
  </si>
  <si>
    <t>Prestamo de documentos a las otras áreas del Infider</t>
  </si>
  <si>
    <t>Oficina Asesora Jurídica y Contratista SGC</t>
  </si>
  <si>
    <t>Inobservacia de las políticas del Infider y normatividad externa</t>
  </si>
  <si>
    <t>El INFIDER tiene implementado el manual de contratación y de interventoría, donde está el procedimiento de como debe ser el proceso contractual de acuerdo a la normatividad vigente</t>
  </si>
  <si>
    <t>(Número de Procesos judiciales vencidos / Númeo de procesos judiciales ) X 100%</t>
  </si>
  <si>
    <t>Falla en la liquidación de intereses de mora</t>
  </si>
  <si>
    <t>Cuantitativo</t>
  </si>
  <si>
    <t>El software falló y no realizó la conversion respectiva a tasa nominal de los intereses moratorios, liquidando mayor valor a dos deudores de la entidad</t>
  </si>
  <si>
    <t>Dirección Administrativa y Financiera</t>
  </si>
  <si>
    <t>Cualitativo</t>
  </si>
  <si>
    <t xml:space="preserve">Se extravio la carpeta de el credito No. Realizado al municipio de la Virginia </t>
  </si>
  <si>
    <t>Factor</t>
  </si>
  <si>
    <t>Descripción del Evento</t>
  </si>
  <si>
    <t xml:space="preserve">GESTIÓN DEL TALENTO HUMANO </t>
  </si>
  <si>
    <t xml:space="preserve">CAPTACIÓN </t>
  </si>
  <si>
    <t xml:space="preserve">GESTIÓN DE LA CALIDAD </t>
  </si>
  <si>
    <t xml:space="preserve">GESTIÓN CONTRACTUAL Y DEFENSA JURIDICA </t>
  </si>
  <si>
    <t xml:space="preserve">GESTIÓN DE PROYECTOS </t>
  </si>
  <si>
    <t>GESTIÓN ADMINISTRATIVA</t>
  </si>
  <si>
    <t xml:space="preserve">GESTIÓN FINANCIERA </t>
  </si>
  <si>
    <t>TICS</t>
  </si>
  <si>
    <t xml:space="preserve">SEGUIMIENTO INSTITUCIONAL </t>
  </si>
  <si>
    <t xml:space="preserve">GESTIÓN DE RIESGOS </t>
  </si>
  <si>
    <t>001-05-2019</t>
  </si>
  <si>
    <t>002-05-2019</t>
  </si>
  <si>
    <t>001-11-2019</t>
  </si>
  <si>
    <t xml:space="preserve">PROCESO </t>
  </si>
  <si>
    <t>NUMERO</t>
  </si>
  <si>
    <t>AREAS</t>
  </si>
  <si>
    <t xml:space="preserve">Oficina Asesora Juridica </t>
  </si>
  <si>
    <t xml:space="preserve">Oficina Asesora de Control Interno </t>
  </si>
  <si>
    <t xml:space="preserve">Dirección de Riesgos </t>
  </si>
  <si>
    <t>Comercial</t>
  </si>
  <si>
    <t>Cartera</t>
  </si>
  <si>
    <t>Contabilidad y Presupuesto</t>
  </si>
  <si>
    <t>Tesoreria</t>
  </si>
  <si>
    <t>001-01-2019</t>
  </si>
  <si>
    <t xml:space="preserve">Realización de activos fijos </t>
  </si>
  <si>
    <t xml:space="preserve">Riesgo de liquidez </t>
  </si>
  <si>
    <t>Procedimiento afectado</t>
  </si>
  <si>
    <t xml:space="preserve">Documentar y socializar el formato de prestamo de documentos en el SGC.    Solictar a la Jefe Oficina Asesora Jurídica el documento en calidad de prestamo, mediante un correo electrónico o por Workmanager
</t>
  </si>
  <si>
    <t>No se registra información sin soporte, por lo tanto, se entrega toda la información por los responsables de las áreas, para realizar los registros de todas las operaciones financieras, económicas y sociales</t>
  </si>
  <si>
    <t>Riesgo operativo</t>
  </si>
  <si>
    <t>Director administrativo y financiero, tesorera y técnico operativo (tesorería)</t>
  </si>
  <si>
    <t xml:space="preserve">Director Administrativo y Financiero </t>
  </si>
  <si>
    <t>Riesgo de Crédito</t>
  </si>
  <si>
    <t>Profesional de Cartera</t>
  </si>
  <si>
    <t>Gerencia</t>
  </si>
  <si>
    <t>Documentar y socializar el formato de prestamo de documentos en el SGC.    Solictar a la Jefe Oficina Asesora Jurídica el documento en calidad de prestamo, mediante un correo electrónico o por Workmanager</t>
  </si>
  <si>
    <t>Jefe Oficina Asesora Jurídica</t>
  </si>
  <si>
    <t>Tesorero</t>
  </si>
  <si>
    <t xml:space="preserve">Realizar activos </t>
  </si>
  <si>
    <t xml:space="preserve">Se llevará a Consejo Directivo la modificación del procedimientod e colocación </t>
  </si>
  <si>
    <t>La Entidad</t>
  </si>
  <si>
    <t>En proceso</t>
  </si>
  <si>
    <t>Perdida en el ERI</t>
  </si>
  <si>
    <t xml:space="preserve">Fallas en la liquidación de interéses </t>
  </si>
  <si>
    <t>Se presentará en el mes de agosto proyecto de Ordenanza para enajenar acciones</t>
  </si>
  <si>
    <t>Hackeo del sistema</t>
  </si>
  <si>
    <t>Robo o perdida de información</t>
  </si>
  <si>
    <t>Daños físicos de los servidores</t>
  </si>
  <si>
    <t>Mantenimientos preventivos dos veces al año</t>
  </si>
  <si>
    <t>Mantenimientos realizados / Mantenimiento programado</t>
  </si>
  <si>
    <t>Actualizaciones de antivirus, verificación del sistema eléctrico regulado, y UPS</t>
  </si>
  <si>
    <t>Error en la transmisión de la información por redes de comunicación</t>
  </si>
  <si>
    <t>Verificación de las condiciones operativas de las UPS de respaldo y sistemas de comunicación y canales de ISP backup y principal</t>
  </si>
  <si>
    <t>verificaciones realizadas / verificaciones programadas</t>
  </si>
  <si>
    <t>Daño de servidores</t>
  </si>
  <si>
    <t>Mantenimiento preventivo de los sistemas de refrigeración</t>
  </si>
  <si>
    <t>Se tiene una infraestructura tecnológica que cuenta con un firewall, Antivirus y política de seguridad</t>
  </si>
  <si>
    <t>Interrupción parcial de la operación</t>
  </si>
  <si>
    <t>Interrupción total de la operación</t>
  </si>
  <si>
    <t>Asonada o catastrofe natural</t>
  </si>
  <si>
    <t>Copias de seguridad</t>
  </si>
  <si>
    <t>Implementación del PCCN, en sede alterna y servidor espejo</t>
  </si>
  <si>
    <t>Accesos no autorizados al cuarto de datos</t>
  </si>
  <si>
    <t>Acceso biómetrico al cuarto de datos y CCTV</t>
  </si>
  <si>
    <t>Se tiene un sistema de información que liquida los intereses de forma automática</t>
  </si>
  <si>
    <t>Riesgo de crédito</t>
  </si>
  <si>
    <t>Indeterminada</t>
  </si>
  <si>
    <t>Direccionamiento IP externa</t>
  </si>
  <si>
    <t>Perdida de la información y hackeo de sistema</t>
  </si>
  <si>
    <t>Vulnerabilidad de puertos</t>
  </si>
  <si>
    <t>Actualización de restricciones del firewall</t>
  </si>
  <si>
    <t xml:space="preserve">Perdida Economica/ Costo de Oportunidad </t>
  </si>
  <si>
    <t xml:space="preserve">Seguridad de la informacion </t>
  </si>
  <si>
    <t>Operativo</t>
  </si>
  <si>
    <t xml:space="preserve">Continuidad del Negocio </t>
  </si>
  <si>
    <t xml:space="preserve">Atención al cliente </t>
  </si>
  <si>
    <t xml:space="preserve">Legal </t>
  </si>
  <si>
    <t>Hasta X% del PT</t>
  </si>
  <si>
    <t xml:space="preserve">Vlr en pesos </t>
  </si>
  <si>
    <t>Uso inadecuado de información publica</t>
  </si>
  <si>
    <t xml:space="preserve">El reproceso dura entre 1 y 2 dias </t>
  </si>
  <si>
    <t xml:space="preserve">La interrupción del negocio dura entre 1 y 2 dias </t>
  </si>
  <si>
    <t>Se ven afectados hasta 3 clientes</t>
  </si>
  <si>
    <t>No conformidades por organos de control</t>
  </si>
  <si>
    <t>Menor</t>
  </si>
  <si>
    <t xml:space="preserve">divulgación de información no oficial </t>
  </si>
  <si>
    <t xml:space="preserve">El reproceso dura entre 2 y 4 dias </t>
  </si>
  <si>
    <t xml:space="preserve">La interrupción del negocio dura entre 2 y 4 dias </t>
  </si>
  <si>
    <t>Se ven afectados entre 4 y 6 clientes</t>
  </si>
  <si>
    <t>Incumplimientos contractuales</t>
  </si>
  <si>
    <t>Divulgación de Información de clientes</t>
  </si>
  <si>
    <t xml:space="preserve">El reproceso dura entre 5 y 10 dias </t>
  </si>
  <si>
    <t xml:space="preserve">La interrupción del negocio dura entre 5 y 10 dias </t>
  </si>
  <si>
    <t>Se ven afectados entre 7 y 15 clientes</t>
  </si>
  <si>
    <t xml:space="preserve">Glosas por parte de Organos regulatorios </t>
  </si>
  <si>
    <t>Mayor</t>
  </si>
  <si>
    <t xml:space="preserve">Perdida de Información de clientes </t>
  </si>
  <si>
    <t xml:space="preserve">El reproceso dura entre 11 y 20 dias </t>
  </si>
  <si>
    <t xml:space="preserve">La interrupción del negocio dura entre 11 y 20 dias </t>
  </si>
  <si>
    <t>Se ven afectados entre 16 y 30 clientes</t>
  </si>
  <si>
    <t xml:space="preserve">Sanciones por parte de organos de control y vigilancia </t>
  </si>
  <si>
    <t xml:space="preserve">Perdida total de la Información de la entidad </t>
  </si>
  <si>
    <t>El reproceso dura mas de 20 dias</t>
  </si>
  <si>
    <t xml:space="preserve">La interrupción del negocio dura mas de 20 dias </t>
  </si>
  <si>
    <t xml:space="preserve">Se ven afectados mas de 30 clientes </t>
  </si>
  <si>
    <t>Destitución en inhabilidad de algun administrador</t>
  </si>
  <si>
    <t>PT</t>
  </si>
  <si>
    <t>Se debe hacer una validación Manual del calculo de intereses cada cuatro meses</t>
  </si>
  <si>
    <t>Director Administrativo y Financiero, profesional de cartera, jefe oficina asesora jurídica, tesorera, responsable del SGC</t>
  </si>
  <si>
    <t>Responsable de TICs</t>
  </si>
  <si>
    <t>Responsable TICS</t>
  </si>
  <si>
    <t>Contratar Servicio de BATCH para LAFT. Consulta masiva cada seis meses</t>
  </si>
  <si>
    <t>LAFT</t>
  </si>
  <si>
    <t>Riesgo de Liquidez</t>
  </si>
  <si>
    <t>Director Técnico en Administración de Riesgos</t>
  </si>
  <si>
    <t>002-11-2019</t>
  </si>
  <si>
    <t>001-02-2019</t>
  </si>
  <si>
    <t>001-05-2020</t>
  </si>
  <si>
    <t>001-06-2019</t>
  </si>
  <si>
    <t>001-07-2019</t>
  </si>
  <si>
    <t>001-08-2019</t>
  </si>
  <si>
    <t>001-09-2018</t>
  </si>
  <si>
    <t>001-09-2019</t>
  </si>
  <si>
    <t>001-10-2018</t>
  </si>
  <si>
    <t>002-10-2018</t>
  </si>
  <si>
    <t>003-10-2018</t>
  </si>
  <si>
    <t>001-10-2019</t>
  </si>
  <si>
    <t>002-10-2019</t>
  </si>
  <si>
    <t>001-13-2019</t>
  </si>
  <si>
    <t>Se tiene definida la custodia y conservación de los títulos valores en caja fuerte con cámaras de seguridad, y la clave esta a cargo de otro funcionario, en este caso el tesorero</t>
  </si>
  <si>
    <t>Titulos valores extraviados / títulos valores custodiados</t>
  </si>
  <si>
    <t>Se realiza  mensualmente comité técnico de evaluación  y calificación de cartera donde se monitorea el estado y las acciones de recuperación de la cartera.</t>
  </si>
  <si>
    <t>Se debe hacer una validación manual del calculo de intereses cada cuatro meses</t>
  </si>
  <si>
    <t>Se modificó el manual de procedimientos según Acuerdo 18 del mes de agosto de 2019</t>
  </si>
  <si>
    <t>Pérdida de carpeta de crédito</t>
  </si>
  <si>
    <t>003-05-2019</t>
  </si>
  <si>
    <t xml:space="preserve">Reconstrucción de carpeta de la virginia </t>
  </si>
  <si>
    <t>002-13-2019</t>
  </si>
  <si>
    <t>Este plan de acción continúa en proceso. La profesionalde cartera el 11 de septiembre de 2019, solicitó al proveedor del Sistema IAS Solution generar un reporte con caracteristicas específicas, y poder hacer una validación integral de la liquidación de intereses</t>
  </si>
  <si>
    <t xml:space="preserve">Incumplimiento a los límites de exposición crediticia </t>
  </si>
  <si>
    <t>En el proceso de otorgamiento se verifican los ímites de exposición crediticia. El Comité técnico de evaluación y calificación de cartera hace seguimiento periódico</t>
  </si>
  <si>
    <t>Falta de verificación al momento de la originación</t>
  </si>
  <si>
    <t>Sustracción de documentos valores</t>
  </si>
  <si>
    <t>Se analiza periódicamente el mercado y se establecen al momento de la originación puntos básicos adicionales con tasas de referencia variables para los créditos comerciales</t>
  </si>
  <si>
    <t>Sustracción de documentos de las carpetas de crédito</t>
  </si>
  <si>
    <t>Inobservancia de los requisitos del Manual SARC</t>
  </si>
  <si>
    <t>Inobservancia en la originación de acuerdo a los cálculos de capacidad de pago conforme a lo dispuesto en la normatividad (decreto 1068 de 2015 y demás normas sobre endeudamiento público)</t>
  </si>
  <si>
    <t>La carpeta estaba extraviada, y se pudo recuperar. Hoy está bajo custodia de la profesional de cartera</t>
  </si>
  <si>
    <t>Realizado por (Cargo):</t>
  </si>
  <si>
    <t>Revisado por  (Cargo):</t>
  </si>
  <si>
    <t>Director Técnico en Administración en Riesgos</t>
  </si>
  <si>
    <t>Recibido por (Cargo):</t>
  </si>
  <si>
    <t>Entregado por  (Cargo):</t>
  </si>
  <si>
    <t>Director Administrativo y Financiero</t>
  </si>
  <si>
    <t>Fuentes de fondeo limitadas</t>
  </si>
  <si>
    <t xml:space="preserve">Obligación del Infider a desmontar sus captaciones. Normatividad externa (decreto 1068 de 2015). </t>
  </si>
  <si>
    <t>Revisado por  ( Cargo):</t>
  </si>
  <si>
    <t xml:space="preserve"> Jefe oficina Asesor de Control Interno</t>
  </si>
  <si>
    <t>Jefe oficina Asesor de Control Interno</t>
  </si>
  <si>
    <t>SEGUIMIENTO RIESGOS 2020</t>
  </si>
  <si>
    <t>Realizado</t>
  </si>
  <si>
    <t>Implementado</t>
  </si>
  <si>
    <t>Validado</t>
  </si>
  <si>
    <t>Se presentará nuevamente en 2020</t>
  </si>
  <si>
    <t>Revisión en mayo 2020</t>
  </si>
  <si>
    <t>Se presentará en el mes de agosto 2020 proyecto de Ordenanza para enajenar acciones</t>
  </si>
  <si>
    <t>Seguimiento Comité Técnico de Cartera</t>
  </si>
  <si>
    <t>Actualizado</t>
  </si>
  <si>
    <t>Imposibilidad de redimir títulos valores</t>
  </si>
  <si>
    <t>Pérdida de títulos valores</t>
  </si>
  <si>
    <t>Títulos valores extraviados / Títulos valores custodiados</t>
  </si>
  <si>
    <t>Pérdida de recursos</t>
  </si>
  <si>
    <t>Se cuenta con el Manual del Sistema de Administración de Riesgo de Mercado, el cual contiene las políticas de inversiones en el marco de la Norma.</t>
  </si>
  <si>
    <t>Recursos pérdidos / Recursos invertidos</t>
  </si>
  <si>
    <t xml:space="preserve">Ausencia de verificación en listas restrictivas  </t>
  </si>
  <si>
    <t xml:space="preserve">Se consultan en listas restrictivas, todos los clientes relacionados del Infider. Se tiene establecido el procedimiento en el Manual LAFT los responsables de verificación en listas restrictivas </t>
  </si>
  <si>
    <t>Tesorero (a), director administrativo y financiero (a), profesionales comerciales, Jefe oficina asesora jurídica</t>
  </si>
  <si>
    <t xml:space="preserve">Clientes verificados en listas / clientes vinculados </t>
  </si>
  <si>
    <t>Ausencia de proveedor de listas resrtictivas</t>
  </si>
  <si>
    <t>Está establecido en el Manual LA/FT la obligación de mantener contratados los servicios de un proveedor de listas restrictivas</t>
  </si>
  <si>
    <t>Funcionario Designado para LA/FT y Gerente</t>
  </si>
  <si>
    <t>No detectar operaciones inusuales y/o sospechosas de LAFT</t>
  </si>
  <si>
    <t>Debilidades en capacitaciones específicas en temas de LAFT</t>
  </si>
  <si>
    <t xml:space="preserve">Funcionario designado para LA/FT y director administrativo y finaciero </t>
  </si>
  <si>
    <t xml:space="preserve">
Funcionarios capacitados en LAFT / funcionarios activos</t>
  </si>
  <si>
    <t>Verificación insuficiente de origen de fondos</t>
  </si>
  <si>
    <t>Se tienen establecidos los formatos de vinculación para personas jurídicas y naturales</t>
  </si>
  <si>
    <t xml:space="preserve"># de clientes que diligencian el formato de vinculación / Clientes vinculados </t>
  </si>
  <si>
    <t>Suplantación de clientes para evitar coincidencia frente a listas vinculantes</t>
  </si>
  <si>
    <t>Debilidades en el diligenciamiento del formato de vinculación.</t>
  </si>
  <si>
    <t>Suplantaciones detectadas / Clientes vinculados</t>
  </si>
  <si>
    <t>Prepago de cartera con dinero de origen ilícito</t>
  </si>
  <si>
    <t>Ausencia de verificación de la fuente de recursos de los prepagos de cartera</t>
  </si>
  <si>
    <t>Se pregunta verbalmente al cliente el por qué del prepago y la fuente</t>
  </si>
  <si>
    <t>Diseñar un formato para la verificación de la fuente de recursos</t>
  </si>
  <si>
    <t>Funcionario Designado para LAFT y Profesional de cartera</t>
  </si>
  <si>
    <t>Clientes relacionados con listas restrictivas posterior a su vinculación</t>
  </si>
  <si>
    <t>No verificación de la base de datos del Infider de listas restrictivas en las oportunidades</t>
  </si>
  <si>
    <t>Se tiene establecido en el Manual LAFT, la contratación de un proveedor de listas restrictivas para la verificación de los clientes activos del Infider, efectuando una carga masiva por lo menos 4 veces al año y cuando sean actualizadas las listas restrictivas por lo órganos competentes</t>
  </si>
  <si>
    <t>Funcionario Designado para LAFT</t>
  </si>
  <si>
    <t># verificaciones realizadas en el año / 4</t>
  </si>
  <si>
    <t>Se presentará proyecto de ordenanza para enajenar el Lote 10 de la Villa Olímpica en la sesiones del mes de noviembre de 2020</t>
  </si>
  <si>
    <t>Se presentó al Consejo Directivo el Plan Estratégico 2020-2023</t>
  </si>
  <si>
    <t>La Asamblea Departamental aprobó mediante Ordenanza 026 la enajenación del Lote 10 de la Villa Olímpica</t>
  </si>
  <si>
    <t>El sistema de información liquida la seguridad social de los funcionarios mes a mes, adicional se hace una revisión manual por parte de la profesional de contabilidad</t>
  </si>
  <si>
    <t>Se aplicó el instrumento administrativo del sistema tipo EDL.</t>
  </si>
  <si>
    <t>Informe entregado en marzo de 2020</t>
  </si>
  <si>
    <t>2 / 2 * 100 = 100%</t>
  </si>
  <si>
    <t>Auditoría planeada y socializada en el Comité Institucional de control Interno. Acta N°2</t>
  </si>
  <si>
    <t>Se encuentra en ejecución</t>
  </si>
  <si>
    <t>El Sistema IAS Solution todavía presenta inconsistencia al momento de validar. Se envió la plantilla al proveedor para con los errores encontrados. Se debe continuar con el seguimiento, hasta que la validación de el 100%. Revisar archivo: INFIDER-TEMAS RIESGOS Con fechas plazo 30-12-2020</t>
  </si>
  <si>
    <t>Se presentan informes periódicos al comité de cartera, al comité de riesgos y al consejo directivo</t>
  </si>
  <si>
    <t>No se han modificado el Manual SARC</t>
  </si>
  <si>
    <t>Por solicitud de la SFC, se relalizó modificación en el SARC, con referencia a los límites de exposición crediticia</t>
  </si>
  <si>
    <t>El Infider actualmente tien inversioens en cuentas de ahorro y CDTs.</t>
  </si>
  <si>
    <t>Está pendiente realizar seguimiento de garantías con corte a junio de 2020</t>
  </si>
  <si>
    <t>El Infider actualmente tiene inversioens en cuentas de ahorro y CDTs. Sin embargo, se debe hacer seguimiento a la funcionalidad del aplicativo IAS, pusto que todavía no está a full operación con respecto al VaR</t>
  </si>
  <si>
    <t>El seguimiento se realiza periódicamente y se presenta al Comité de reisgos y al consejo directivo.
Se ha avanzado en el módulo IRL, sin embargo, todavía se presentan errores en las fórmulas de las unidades de captura 7, 8, 9 y 11</t>
  </si>
  <si>
    <t>Se realizó segumiento de garantías con corte a junio de 2020. Reposa en la carpeta del comité técnico de evaluación y calificación de cartera</t>
  </si>
  <si>
    <t>Se realizan comités de inversiones periódicos. Así mismo en comité deriesgos se ahce seguimiento a los límites de exposición</t>
  </si>
  <si>
    <t>Se suscribió contrato interadmnistrativo CI N° CO1.PCCNTR.1572417</t>
  </si>
  <si>
    <t>x</t>
  </si>
  <si>
    <t>Se debe hacer proceso de revisión de carpetas para el priemr trimestre 2021. En proceso</t>
  </si>
  <si>
    <t>Se debe hacer verificaión en el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</si>
</sst>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0.000%"/>
    <numFmt numFmtId="166" formatCode="_-&quot;$&quot;* #,##0_-;\-&quot;$&quot;* #,##0_-;_-&quot;$&quot;* &quot;-&quot;??_-;_-@_-"/>
  </numFmts>
  <fonts count="30" x14ac:knownFonts="1">
    <font>
      <sz val="11"/>
      <color theme="1"/>
      <name val="Calibri"/>
      <family val="2"/>
      <scheme val="minor"/>
    </font>
    <font>
      <sz val="10"/>
      <name val="Arial"/>
      <family val="2"/>
    </font>
    <font>
      <b/>
      <sz val="11"/>
      <color theme="1"/>
      <name val="Calibri"/>
      <family val="2"/>
      <scheme val="minor"/>
    </font>
    <font>
      <sz val="12"/>
      <color theme="1"/>
      <name val="Arial"/>
      <family val="2"/>
    </font>
    <font>
      <sz val="8"/>
      <color theme="1"/>
      <name val="Calibri"/>
      <family val="2"/>
      <scheme val="minor"/>
    </font>
    <font>
      <b/>
      <sz val="12"/>
      <color rgb="FFFFFFFF"/>
      <name val="Calibri"/>
      <family val="2"/>
      <scheme val="minor"/>
    </font>
    <font>
      <sz val="12"/>
      <color rgb="FF000000"/>
      <name val="Calibri"/>
      <family val="2"/>
      <scheme val="minor"/>
    </font>
    <font>
      <b/>
      <sz val="12"/>
      <color rgb="FF000000"/>
      <name val="Calibri"/>
      <family val="2"/>
    </font>
    <font>
      <sz val="12"/>
      <color rgb="FF000000"/>
      <name val="Calibri"/>
      <family val="2"/>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2"/>
      <color indexed="8"/>
      <name val="Calibri"/>
      <family val="2"/>
      <scheme val="minor"/>
    </font>
    <font>
      <b/>
      <sz val="24"/>
      <color theme="1"/>
      <name val="Calibri"/>
      <family val="2"/>
      <scheme val="minor"/>
    </font>
    <font>
      <sz val="12"/>
      <color theme="0"/>
      <name val="Calibri"/>
      <family val="2"/>
      <scheme val="minor"/>
    </font>
    <font>
      <sz val="12"/>
      <color theme="0"/>
      <name val="Courier New"/>
      <family val="3"/>
    </font>
    <font>
      <sz val="7"/>
      <color theme="0"/>
      <name val="Times New Roman"/>
      <family val="1"/>
    </font>
    <font>
      <sz val="12"/>
      <color indexed="8"/>
      <name val="Calibri"/>
      <family val="2"/>
    </font>
    <font>
      <b/>
      <sz val="18"/>
      <color theme="1"/>
      <name val="Calibri"/>
      <family val="2"/>
      <scheme val="minor"/>
    </font>
    <font>
      <b/>
      <sz val="11"/>
      <color theme="0"/>
      <name val="Calibri"/>
      <family val="2"/>
      <scheme val="minor"/>
    </font>
    <font>
      <sz val="10"/>
      <color theme="1"/>
      <name val="Calibri"/>
      <family val="2"/>
      <scheme val="minor"/>
    </font>
    <font>
      <sz val="11"/>
      <color theme="1"/>
      <name val="Calibri"/>
      <family val="2"/>
      <scheme val="minor"/>
    </font>
    <font>
      <sz val="11"/>
      <color theme="1"/>
      <name val="Arial"/>
      <family val="2"/>
    </font>
    <font>
      <sz val="14"/>
      <color theme="1"/>
      <name val="Arial"/>
      <family val="2"/>
    </font>
    <font>
      <b/>
      <sz val="16"/>
      <color theme="1"/>
      <name val="Calibri"/>
      <family val="2"/>
      <scheme val="minor"/>
    </font>
    <font>
      <sz val="11"/>
      <name val="Calibri"/>
      <family val="2"/>
      <scheme val="minor"/>
    </font>
    <font>
      <sz val="14"/>
      <color theme="1"/>
      <name val="Calibri"/>
      <family val="2"/>
      <scheme val="minor"/>
    </font>
    <font>
      <sz val="16"/>
      <color rgb="FF000000"/>
      <name val="Arial"/>
      <family val="2"/>
    </font>
    <font>
      <u/>
      <sz val="11"/>
      <color theme="10"/>
      <name val="Calibri"/>
      <family val="2"/>
      <scheme val="minor"/>
    </font>
  </fonts>
  <fills count="1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24406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theme="3" tint="-0.249977111117893"/>
        <bgColor indexed="64"/>
      </patternFill>
    </fill>
    <fill>
      <patternFill patternType="solid">
        <fgColor indexed="65"/>
        <bgColor indexed="64"/>
      </patternFill>
    </fill>
    <fill>
      <patternFill patternType="solid">
        <fgColor theme="0"/>
        <bgColor indexed="64"/>
      </patternFill>
    </fill>
    <fill>
      <patternFill patternType="solid">
        <fgColor theme="6"/>
        <bgColor indexed="64"/>
      </patternFill>
    </fill>
    <fill>
      <patternFill patternType="solid">
        <fgColor theme="9" tint="-0.249977111117893"/>
        <bgColor indexed="64"/>
      </patternFill>
    </fill>
    <fill>
      <patternFill patternType="solid">
        <fgColor theme="4"/>
        <bgColor indexed="64"/>
      </patternFill>
    </fill>
    <fill>
      <patternFill patternType="solid">
        <fgColor theme="7"/>
        <bgColor indexed="64"/>
      </patternFill>
    </fill>
    <fill>
      <patternFill patternType="solid">
        <fgColor theme="0" tint="-0.499984740745262"/>
        <bgColor indexed="64"/>
      </patternFill>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xf numFmtId="0" fontId="1" fillId="0" borderId="0"/>
    <xf numFmtId="0" fontId="1" fillId="0" borderId="0"/>
    <xf numFmtId="9" fontId="1"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9" fillId="0" borderId="0" applyNumberFormat="0" applyFill="0" applyBorder="0" applyAlignment="0" applyProtection="0"/>
  </cellStyleXfs>
  <cellXfs count="245">
    <xf numFmtId="0" fontId="0" fillId="0" borderId="0" xfId="0"/>
    <xf numFmtId="0" fontId="0" fillId="0" borderId="8" xfId="0" applyBorder="1"/>
    <xf numFmtId="0" fontId="4" fillId="0" borderId="8" xfId="0" applyFont="1" applyBorder="1" applyAlignment="1">
      <alignment horizontal="center" vertical="center"/>
    </xf>
    <xf numFmtId="0" fontId="2" fillId="0" borderId="8" xfId="0" applyFont="1" applyBorder="1"/>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vertical="center"/>
    </xf>
    <xf numFmtId="0" fontId="6" fillId="0" borderId="23" xfId="0" applyFont="1" applyBorder="1" applyAlignment="1">
      <alignment vertical="center" wrapText="1"/>
    </xf>
    <xf numFmtId="0" fontId="7"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0" fillId="0" borderId="0" xfId="0" applyAlignment="1">
      <alignment vertical="center" wrapText="1"/>
    </xf>
    <xf numFmtId="0" fontId="10" fillId="0" borderId="15" xfId="0" applyFont="1" applyBorder="1" applyAlignment="1">
      <alignment horizontal="center" vertical="center"/>
    </xf>
    <xf numFmtId="10"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0" fillId="0" borderId="0" xfId="0"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wrapText="1"/>
    </xf>
    <xf numFmtId="0" fontId="11" fillId="6" borderId="8" xfId="0" applyNumberFormat="1" applyFont="1" applyFill="1" applyBorder="1" applyAlignment="1">
      <alignment horizontal="center" vertical="center" wrapText="1"/>
    </xf>
    <xf numFmtId="0" fontId="12" fillId="2" borderId="8" xfId="0" applyFont="1" applyFill="1" applyBorder="1" applyAlignment="1" applyProtection="1">
      <alignment horizontal="center" vertical="center" wrapText="1"/>
    </xf>
    <xf numFmtId="17" fontId="10" fillId="0" borderId="8" xfId="0" applyNumberFormat="1" applyFont="1" applyBorder="1" applyAlignment="1">
      <alignment horizontal="center" vertical="center" wrapText="1"/>
    </xf>
    <xf numFmtId="0" fontId="10" fillId="0" borderId="0" xfId="0" applyFont="1"/>
    <xf numFmtId="0" fontId="10" fillId="0" borderId="8" xfId="0" applyFont="1" applyBorder="1" applyAlignment="1">
      <alignment vertical="center" wrapText="1"/>
    </xf>
    <xf numFmtId="0" fontId="10" fillId="0" borderId="8" xfId="0" applyFont="1" applyBorder="1"/>
    <xf numFmtId="0" fontId="10" fillId="0" borderId="8" xfId="0" applyFont="1" applyBorder="1" applyAlignment="1">
      <alignment horizontal="left" vertical="center" wrapText="1"/>
    </xf>
    <xf numFmtId="0" fontId="10" fillId="0"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3"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17" fontId="11" fillId="0" borderId="8" xfId="0" applyNumberFormat="1" applyFont="1" applyFill="1" applyBorder="1" applyAlignment="1">
      <alignment horizontal="center" vertical="center" wrapText="1"/>
    </xf>
    <xf numFmtId="0" fontId="14" fillId="0" borderId="16"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12" fillId="2" borderId="8" xfId="0"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49" fontId="14" fillId="0" borderId="8" xfId="0" applyNumberFormat="1" applyFont="1" applyBorder="1" applyAlignment="1">
      <alignment horizontal="center" vertical="center" textRotation="255" wrapText="1"/>
    </xf>
    <xf numFmtId="0" fontId="14" fillId="0" borderId="8" xfId="0" applyFont="1" applyBorder="1" applyAlignment="1">
      <alignment horizontal="center" vertical="center" wrapText="1"/>
    </xf>
    <xf numFmtId="0" fontId="12" fillId="3" borderId="8" xfId="0" applyFont="1" applyFill="1" applyBorder="1" applyAlignment="1" applyProtection="1">
      <alignment horizontal="center" vertical="center" wrapText="1"/>
    </xf>
    <xf numFmtId="0" fontId="14" fillId="0" borderId="8" xfId="0" applyFont="1" applyBorder="1" applyAlignment="1">
      <alignment horizontal="center" vertical="center" textRotation="255" wrapText="1"/>
    </xf>
    <xf numFmtId="0" fontId="3" fillId="0" borderId="8" xfId="0" applyFont="1" applyBorder="1" applyAlignment="1">
      <alignment horizontal="center" vertical="center" wrapText="1"/>
    </xf>
    <xf numFmtId="0" fontId="10" fillId="0" borderId="8" xfId="0" applyNumberFormat="1" applyFont="1" applyBorder="1" applyAlignment="1">
      <alignment horizontal="center" vertical="center" wrapText="1"/>
    </xf>
    <xf numFmtId="0" fontId="14" fillId="0" borderId="8" xfId="0" applyFont="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8" xfId="0" applyFont="1" applyBorder="1" applyAlignment="1">
      <alignment vertical="center" textRotation="255" wrapText="1"/>
    </xf>
    <xf numFmtId="0" fontId="10" fillId="0" borderId="17" xfId="0" applyFont="1" applyBorder="1" applyAlignment="1">
      <alignment vertical="center" wrapText="1"/>
    </xf>
    <xf numFmtId="0" fontId="18" fillId="0" borderId="8" xfId="0" applyFont="1" applyBorder="1" applyAlignment="1">
      <alignment horizontal="center" vertical="center" wrapText="1"/>
    </xf>
    <xf numFmtId="0" fontId="10" fillId="0" borderId="0" xfId="0" applyFont="1" applyAlignment="1">
      <alignment horizontal="center" vertical="center"/>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0" borderId="0" xfId="0" applyFont="1" applyAlignment="1">
      <alignment horizontal="center" vertical="center"/>
    </xf>
    <xf numFmtId="0" fontId="14" fillId="0" borderId="17" xfId="0" applyFont="1" applyBorder="1" applyAlignment="1">
      <alignment vertical="center" textRotation="255" wrapText="1"/>
    </xf>
    <xf numFmtId="0" fontId="0" fillId="11" borderId="0" xfId="0" applyFill="1"/>
    <xf numFmtId="0" fontId="0" fillId="11" borderId="0" xfId="0" applyFont="1" applyFill="1" applyAlignment="1">
      <alignment horizontal="center" vertical="center"/>
    </xf>
    <xf numFmtId="0" fontId="0" fillId="8" borderId="8" xfId="0" applyFill="1" applyBorder="1"/>
    <xf numFmtId="0" fontId="20" fillId="8" borderId="8" xfId="0" applyFont="1" applyFill="1" applyBorder="1" applyAlignment="1">
      <alignment horizontal="center" vertical="center"/>
    </xf>
    <xf numFmtId="0" fontId="2" fillId="6" borderId="8" xfId="0" applyFont="1" applyFill="1" applyBorder="1" applyAlignment="1">
      <alignment horizontal="center" vertical="center"/>
    </xf>
    <xf numFmtId="0" fontId="2" fillId="11" borderId="0" xfId="0" applyFont="1" applyFill="1" applyAlignment="1">
      <alignment vertical="center"/>
    </xf>
    <xf numFmtId="0" fontId="0" fillId="11" borderId="0" xfId="0" applyFont="1" applyFill="1" applyBorder="1" applyAlignment="1">
      <alignment horizontal="center" vertical="center"/>
    </xf>
    <xf numFmtId="0" fontId="0" fillId="6" borderId="8" xfId="0" applyFill="1" applyBorder="1"/>
    <xf numFmtId="0" fontId="0" fillId="11" borderId="0" xfId="0" applyFill="1" applyBorder="1"/>
    <xf numFmtId="0" fontId="0" fillId="11" borderId="0" xfId="0" applyFill="1" applyAlignment="1">
      <alignment horizontal="center"/>
    </xf>
    <xf numFmtId="0" fontId="0" fillId="5" borderId="8" xfId="0" applyFill="1" applyBorder="1"/>
    <xf numFmtId="0" fontId="2" fillId="5" borderId="8" xfId="0" applyFont="1" applyFill="1" applyBorder="1" applyAlignment="1">
      <alignment horizontal="center" vertical="center"/>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 fillId="7" borderId="8" xfId="0" applyFont="1" applyFill="1" applyBorder="1" applyAlignment="1">
      <alignment horizontal="center" vertical="center" wrapText="1"/>
    </xf>
    <xf numFmtId="0" fontId="0" fillId="7" borderId="8" xfId="0" applyFill="1" applyBorder="1"/>
    <xf numFmtId="0" fontId="2" fillId="7" borderId="8" xfId="0" applyFont="1" applyFill="1" applyBorder="1" applyAlignment="1">
      <alignment horizontal="center" vertical="center"/>
    </xf>
    <xf numFmtId="0" fontId="0" fillId="5" borderId="12" xfId="0" applyFill="1" applyBorder="1"/>
    <xf numFmtId="0" fontId="10" fillId="0" borderId="0" xfId="0" applyFont="1" applyAlignment="1">
      <alignment horizontal="center" vertical="center"/>
    </xf>
    <xf numFmtId="0" fontId="12" fillId="2" borderId="4"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0" fillId="0" borderId="8" xfId="0" applyFill="1" applyBorder="1"/>
    <xf numFmtId="0" fontId="14" fillId="0" borderId="8" xfId="0" applyFont="1" applyBorder="1" applyAlignment="1">
      <alignment horizontal="center" vertical="center" textRotation="255" wrapText="1"/>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0" borderId="0" xfId="0" applyFont="1" applyAlignment="1">
      <alignment horizontal="center" vertical="center"/>
    </xf>
    <xf numFmtId="0" fontId="14" fillId="0" borderId="8" xfId="0" applyFont="1" applyFill="1" applyBorder="1" applyAlignment="1">
      <alignment horizontal="center" vertical="center" wrapText="1"/>
    </xf>
    <xf numFmtId="0" fontId="12" fillId="3" borderId="8" xfId="0" applyFont="1" applyFill="1" applyBorder="1" applyAlignment="1" applyProtection="1">
      <alignment horizontal="center" vertical="center" wrapText="1"/>
    </xf>
    <xf numFmtId="164" fontId="0" fillId="0" borderId="8" xfId="4" applyFont="1" applyBorder="1" applyAlignment="1">
      <alignment horizontal="center" vertical="center"/>
    </xf>
    <xf numFmtId="0" fontId="0" fillId="0" borderId="0" xfId="0"/>
    <xf numFmtId="0" fontId="0" fillId="0" borderId="8" xfId="0" applyBorder="1"/>
    <xf numFmtId="0" fontId="10" fillId="0" borderId="0" xfId="0" applyFont="1" applyAlignment="1">
      <alignment horizontal="center" vertical="center"/>
    </xf>
    <xf numFmtId="0" fontId="10" fillId="0" borderId="8" xfId="0" applyFont="1" applyBorder="1" applyAlignment="1">
      <alignment horizontal="center" vertical="center" wrapText="1"/>
    </xf>
    <xf numFmtId="0" fontId="15" fillId="10"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0" fillId="0" borderId="8" xfId="0" applyFill="1" applyBorder="1"/>
    <xf numFmtId="0" fontId="0" fillId="0" borderId="8"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vertical="center" wrapText="1"/>
    </xf>
    <xf numFmtId="15" fontId="0" fillId="0" borderId="8" xfId="0" applyNumberFormat="1" applyBorder="1" applyAlignment="1">
      <alignment horizontal="center" vertical="center"/>
    </xf>
    <xf numFmtId="0" fontId="0" fillId="12" borderId="8" xfId="0" applyFill="1" applyBorder="1" applyAlignment="1">
      <alignment horizontal="center" vertical="center"/>
    </xf>
    <xf numFmtId="0" fontId="0" fillId="0" borderId="8" xfId="0" applyFill="1" applyBorder="1" applyAlignment="1">
      <alignment horizontal="center" vertical="center" wrapText="1"/>
    </xf>
    <xf numFmtId="1" fontId="23" fillId="14" borderId="8" xfId="0" applyNumberFormat="1" applyFont="1" applyFill="1" applyBorder="1" applyAlignment="1">
      <alignment horizontal="center" vertical="center"/>
    </xf>
    <xf numFmtId="0" fontId="23" fillId="14" borderId="8" xfId="0" applyFont="1" applyFill="1" applyBorder="1" applyAlignment="1">
      <alignment horizontal="center" vertical="center"/>
    </xf>
    <xf numFmtId="1" fontId="23" fillId="15" borderId="8" xfId="0" applyNumberFormat="1" applyFont="1" applyFill="1" applyBorder="1" applyAlignment="1">
      <alignment horizontal="center" vertical="center"/>
    </xf>
    <xf numFmtId="0" fontId="23" fillId="15" borderId="8" xfId="0" applyFont="1" applyFill="1" applyBorder="1" applyAlignment="1">
      <alignment horizontal="center" vertical="center"/>
    </xf>
    <xf numFmtId="1" fontId="23" fillId="13" borderId="8" xfId="0" applyNumberFormat="1" applyFont="1" applyFill="1" applyBorder="1" applyAlignment="1">
      <alignment horizontal="center" vertical="center"/>
    </xf>
    <xf numFmtId="0" fontId="23" fillId="13" borderId="8" xfId="0" applyFont="1" applyFill="1" applyBorder="1" applyAlignment="1">
      <alignment horizontal="center" vertical="center"/>
    </xf>
    <xf numFmtId="1" fontId="23" fillId="6" borderId="8" xfId="0" applyNumberFormat="1" applyFont="1" applyFill="1" applyBorder="1" applyAlignment="1">
      <alignment horizontal="center" vertical="center"/>
    </xf>
    <xf numFmtId="0" fontId="23" fillId="6" borderId="8" xfId="0" applyFont="1" applyFill="1" applyBorder="1" applyAlignment="1">
      <alignment horizontal="center" vertical="center"/>
    </xf>
    <xf numFmtId="1" fontId="24" fillId="14" borderId="8" xfId="0" applyNumberFormat="1" applyFont="1" applyFill="1" applyBorder="1" applyAlignment="1">
      <alignment horizontal="center" vertical="center"/>
    </xf>
    <xf numFmtId="0" fontId="24" fillId="14" borderId="8" xfId="0" applyFont="1" applyFill="1" applyBorder="1" applyAlignment="1">
      <alignment horizontal="center" vertical="center"/>
    </xf>
    <xf numFmtId="1" fontId="24" fillId="15" borderId="8" xfId="0" applyNumberFormat="1" applyFont="1" applyFill="1" applyBorder="1" applyAlignment="1">
      <alignment horizontal="center" vertical="center"/>
    </xf>
    <xf numFmtId="0" fontId="24" fillId="15" borderId="8" xfId="0" applyFont="1" applyFill="1" applyBorder="1" applyAlignment="1">
      <alignment horizontal="center" vertical="center"/>
    </xf>
    <xf numFmtId="1" fontId="24" fillId="13" borderId="8" xfId="0" applyNumberFormat="1" applyFont="1" applyFill="1" applyBorder="1" applyAlignment="1">
      <alignment horizontal="center" vertical="center"/>
    </xf>
    <xf numFmtId="0" fontId="24" fillId="13" borderId="8" xfId="0" applyFont="1" applyFill="1" applyBorder="1" applyAlignment="1">
      <alignment horizontal="center" vertical="center"/>
    </xf>
    <xf numFmtId="1" fontId="24" fillId="6" borderId="8" xfId="0" applyNumberFormat="1" applyFont="1" applyFill="1" applyBorder="1" applyAlignment="1">
      <alignment horizontal="center" vertical="center"/>
    </xf>
    <xf numFmtId="0" fontId="24" fillId="6" borderId="8" xfId="0" applyFont="1" applyFill="1" applyBorder="1" applyAlignment="1">
      <alignment horizontal="center" vertical="center"/>
    </xf>
    <xf numFmtId="0" fontId="25" fillId="0" borderId="8" xfId="0" applyFont="1" applyBorder="1" applyAlignment="1">
      <alignment horizontal="center"/>
    </xf>
    <xf numFmtId="0" fontId="0" fillId="14" borderId="8" xfId="0" applyFont="1" applyFill="1" applyBorder="1" applyAlignment="1">
      <alignment horizontal="left" wrapText="1"/>
    </xf>
    <xf numFmtId="0" fontId="0" fillId="15" borderId="8" xfId="0" applyFont="1" applyFill="1" applyBorder="1" applyAlignment="1">
      <alignment horizontal="left" wrapText="1"/>
    </xf>
    <xf numFmtId="0" fontId="0" fillId="13" borderId="8" xfId="0" applyFont="1" applyFill="1" applyBorder="1" applyAlignment="1">
      <alignment horizontal="left" wrapText="1"/>
    </xf>
    <xf numFmtId="0" fontId="0" fillId="6" borderId="8" xfId="0" applyFont="1" applyFill="1" applyBorder="1" applyAlignment="1">
      <alignment horizontal="left" wrapText="1"/>
    </xf>
    <xf numFmtId="0" fontId="0" fillId="0" borderId="0" xfId="0" applyFill="1"/>
    <xf numFmtId="0" fontId="0" fillId="0" borderId="8" xfId="0" applyFont="1" applyFill="1" applyBorder="1" applyAlignment="1">
      <alignment horizontal="left" wrapText="1"/>
    </xf>
    <xf numFmtId="0" fontId="2" fillId="0" borderId="8" xfId="0" applyFont="1" applyFill="1" applyBorder="1" applyAlignment="1">
      <alignment horizontal="center" wrapText="1"/>
    </xf>
    <xf numFmtId="0" fontId="0" fillId="0" borderId="8" xfId="0" applyBorder="1" applyAlignment="1">
      <alignment vertical="center" wrapText="1"/>
    </xf>
    <xf numFmtId="0" fontId="24" fillId="14" borderId="8" xfId="0" applyFont="1" applyFill="1" applyBorder="1" applyAlignment="1">
      <alignment wrapText="1"/>
    </xf>
    <xf numFmtId="0" fontId="24" fillId="15" borderId="8" xfId="0" applyFont="1" applyFill="1" applyBorder="1" applyAlignment="1">
      <alignment wrapText="1"/>
    </xf>
    <xf numFmtId="0" fontId="24" fillId="13" borderId="8" xfId="0" applyFont="1" applyFill="1" applyBorder="1" applyAlignment="1">
      <alignment wrapText="1"/>
    </xf>
    <xf numFmtId="0" fontId="24" fillId="6" borderId="8" xfId="0" applyFont="1" applyFill="1" applyBorder="1" applyAlignment="1">
      <alignment wrapText="1"/>
    </xf>
    <xf numFmtId="0" fontId="8" fillId="5" borderId="15" xfId="0" applyFont="1" applyFill="1" applyBorder="1" applyAlignment="1">
      <alignment horizontal="center" vertical="center" wrapText="1"/>
    </xf>
    <xf numFmtId="0" fontId="10" fillId="0" borderId="13" xfId="0" applyFont="1" applyBorder="1" applyAlignment="1">
      <alignment horizontal="center" vertical="center" wrapText="1"/>
    </xf>
    <xf numFmtId="0" fontId="8" fillId="6"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164" fontId="26" fillId="0" borderId="8" xfId="4" applyFont="1" applyFill="1" applyBorder="1" applyAlignment="1">
      <alignment horizontal="center" vertical="center"/>
    </xf>
    <xf numFmtId="0" fontId="10" fillId="0" borderId="0" xfId="0" applyFont="1" applyAlignment="1">
      <alignment horizontal="center" vertical="center"/>
    </xf>
    <xf numFmtId="49" fontId="14" fillId="0" borderId="4" xfId="0" applyNumberFormat="1" applyFont="1" applyBorder="1" applyAlignment="1">
      <alignment horizontal="center" vertical="center" textRotation="255" wrapText="1"/>
    </xf>
    <xf numFmtId="17" fontId="0" fillId="0" borderId="8" xfId="0" applyNumberFormat="1" applyBorder="1" applyAlignment="1">
      <alignment horizontal="center" vertical="center" wrapText="1"/>
    </xf>
    <xf numFmtId="0" fontId="10" fillId="3" borderId="8" xfId="0" applyFont="1" applyFill="1" applyBorder="1" applyAlignment="1">
      <alignment horizontal="center" vertical="center"/>
    </xf>
    <xf numFmtId="0" fontId="0" fillId="16" borderId="8" xfId="0" applyFill="1" applyBorder="1" applyAlignment="1">
      <alignment horizontal="center" vertical="center" wrapText="1"/>
    </xf>
    <xf numFmtId="0" fontId="0" fillId="0" borderId="0" xfId="0" applyAlignment="1">
      <alignment wrapText="1"/>
    </xf>
    <xf numFmtId="0" fontId="27" fillId="0" borderId="0" xfId="0" applyFont="1" applyAlignment="1">
      <alignment wrapText="1"/>
    </xf>
    <xf numFmtId="3" fontId="28" fillId="0" borderId="0" xfId="0" applyNumberFormat="1" applyFont="1"/>
    <xf numFmtId="0" fontId="10" fillId="0" borderId="0" xfId="0" applyFont="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8" xfId="0" applyFont="1" applyBorder="1" applyAlignment="1">
      <alignment vertical="center" wrapText="1"/>
    </xf>
    <xf numFmtId="0" fontId="0" fillId="0" borderId="8" xfId="0" applyFont="1" applyBorder="1" applyAlignment="1">
      <alignment horizontal="center" vertical="center" wrapText="1"/>
    </xf>
    <xf numFmtId="17" fontId="0" fillId="0" borderId="8" xfId="0" applyNumberFormat="1" applyFont="1" applyBorder="1" applyAlignment="1">
      <alignment horizontal="center" vertical="center" wrapText="1"/>
    </xf>
    <xf numFmtId="0" fontId="10" fillId="17" borderId="8" xfId="0" applyFont="1" applyFill="1" applyBorder="1" applyAlignment="1">
      <alignment horizontal="center" vertical="center"/>
    </xf>
    <xf numFmtId="17" fontId="0" fillId="0" borderId="8" xfId="0" applyNumberFormat="1" applyBorder="1" applyAlignment="1">
      <alignment vertical="center" wrapText="1"/>
    </xf>
    <xf numFmtId="0" fontId="0" fillId="6" borderId="8" xfId="0" applyFill="1" applyBorder="1" applyAlignment="1">
      <alignment vertical="center" wrapText="1"/>
    </xf>
    <xf numFmtId="0" fontId="0" fillId="5" borderId="8" xfId="0" applyFill="1" applyBorder="1" applyAlignment="1">
      <alignment vertical="center" wrapText="1"/>
    </xf>
    <xf numFmtId="0" fontId="0" fillId="6" borderId="8" xfId="0" applyFont="1" applyFill="1" applyBorder="1" applyAlignment="1">
      <alignment vertical="center" wrapText="1"/>
    </xf>
    <xf numFmtId="0" fontId="10" fillId="0" borderId="0" xfId="0" applyFont="1" applyAlignment="1">
      <alignment horizontal="center" vertical="center"/>
    </xf>
    <xf numFmtId="0" fontId="10" fillId="18" borderId="8" xfId="0"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0" fontId="10" fillId="0" borderId="4" xfId="0" applyFont="1" applyFill="1" applyBorder="1" applyAlignment="1">
      <alignment horizontal="center" vertical="center" wrapText="1"/>
    </xf>
    <xf numFmtId="0" fontId="10" fillId="0" borderId="0" xfId="0" applyFont="1" applyAlignment="1">
      <alignment horizontal="center" vertical="center"/>
    </xf>
    <xf numFmtId="0" fontId="12" fillId="3"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4" fillId="0" borderId="17" xfId="0" applyFont="1" applyBorder="1" applyAlignment="1">
      <alignment horizontal="center" vertical="center" textRotation="255" wrapText="1"/>
    </xf>
    <xf numFmtId="0" fontId="10" fillId="0" borderId="17" xfId="0" applyFont="1" applyBorder="1" applyAlignment="1">
      <alignment horizontal="center" vertical="center" wrapText="1"/>
    </xf>
    <xf numFmtId="0" fontId="12" fillId="2" borderId="8" xfId="0" applyFont="1" applyFill="1" applyBorder="1" applyAlignment="1" applyProtection="1">
      <alignment horizontal="center" vertical="center" wrapText="1"/>
    </xf>
    <xf numFmtId="0" fontId="0" fillId="0" borderId="8" xfId="0" applyBorder="1" applyAlignment="1">
      <alignment horizontal="center" vertical="center" wrapText="1"/>
    </xf>
    <xf numFmtId="0" fontId="10" fillId="3" borderId="8" xfId="0" applyFont="1" applyFill="1" applyBorder="1"/>
    <xf numFmtId="0" fontId="10" fillId="0" borderId="17"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Font="1" applyFill="1" applyBorder="1" applyAlignment="1">
      <alignment horizontal="center" vertical="center" wrapText="1"/>
    </xf>
    <xf numFmtId="17" fontId="0" fillId="0" borderId="8" xfId="0" applyNumberFormat="1" applyFont="1" applyFill="1" applyBorder="1" applyAlignment="1">
      <alignment horizontal="center" vertical="center" wrapText="1"/>
    </xf>
    <xf numFmtId="17" fontId="0" fillId="0" borderId="8" xfId="0" applyNumberFormat="1" applyFill="1" applyBorder="1" applyAlignment="1">
      <alignment horizontal="center" vertical="center" wrapText="1"/>
    </xf>
    <xf numFmtId="0" fontId="0" fillId="0" borderId="8" xfId="0" applyFill="1" applyBorder="1" applyAlignment="1">
      <alignment vertical="center" wrapText="1"/>
    </xf>
    <xf numFmtId="9" fontId="10" fillId="0" borderId="8" xfId="0" applyNumberFormat="1" applyFont="1" applyBorder="1" applyAlignment="1">
      <alignment horizontal="center" vertical="center"/>
    </xf>
    <xf numFmtId="0" fontId="10" fillId="0" borderId="8" xfId="0" applyFont="1" applyBorder="1" applyAlignment="1">
      <alignment wrapText="1"/>
    </xf>
    <xf numFmtId="0" fontId="29" fillId="0" borderId="0" xfId="6" applyAlignment="1">
      <alignment horizontal="center" vertical="center" wrapText="1"/>
    </xf>
    <xf numFmtId="0" fontId="10" fillId="8" borderId="8" xfId="0" applyFont="1" applyFill="1" applyBorder="1" applyAlignment="1">
      <alignment horizontal="center" vertical="center"/>
    </xf>
    <xf numFmtId="0" fontId="10" fillId="8" borderId="8" xfId="0" applyFont="1" applyFill="1" applyBorder="1"/>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3" borderId="8"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9" fillId="5" borderId="0" xfId="0" applyFont="1" applyFill="1" applyAlignment="1">
      <alignment horizontal="center" vertical="center"/>
    </xf>
    <xf numFmtId="0" fontId="19" fillId="0" borderId="0" xfId="0" applyFont="1" applyAlignment="1">
      <alignment horizontal="left" vertical="center"/>
    </xf>
    <xf numFmtId="0" fontId="12" fillId="2" borderId="11"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0" fillId="0" borderId="0" xfId="0" applyFont="1" applyAlignment="1">
      <alignment horizontal="center" vertical="center"/>
    </xf>
    <xf numFmtId="0" fontId="12" fillId="3" borderId="8" xfId="0" applyFont="1" applyFill="1" applyBorder="1" applyAlignment="1">
      <alignment horizontal="center" vertical="center"/>
    </xf>
    <xf numFmtId="0" fontId="12" fillId="2" borderId="4" xfId="0" applyFont="1" applyFill="1" applyBorder="1" applyAlignment="1" applyProtection="1">
      <alignment horizontal="center" vertical="center" textRotation="255" wrapText="1"/>
    </xf>
    <xf numFmtId="0" fontId="12" fillId="2" borderId="16" xfId="0" applyFont="1" applyFill="1" applyBorder="1" applyAlignment="1" applyProtection="1">
      <alignment horizontal="center" vertical="center" textRotation="255" wrapText="1"/>
    </xf>
    <xf numFmtId="0" fontId="12" fillId="2" borderId="17" xfId="0" applyFont="1" applyFill="1" applyBorder="1" applyAlignment="1" applyProtection="1">
      <alignment horizontal="center" vertical="center" textRotation="255" wrapText="1"/>
    </xf>
    <xf numFmtId="0" fontId="14" fillId="0" borderId="4"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10" fillId="0" borderId="4"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8" xfId="0" applyFont="1" applyBorder="1" applyAlignment="1">
      <alignment horizontal="center" vertical="center" textRotation="255" wrapText="1"/>
    </xf>
    <xf numFmtId="0" fontId="14" fillId="0" borderId="4" xfId="0" applyFont="1" applyFill="1" applyBorder="1" applyAlignment="1">
      <alignment horizontal="center" vertical="center" textRotation="255" wrapText="1"/>
    </xf>
    <xf numFmtId="0" fontId="14" fillId="0" borderId="17" xfId="0" applyFont="1" applyFill="1" applyBorder="1" applyAlignment="1">
      <alignment horizontal="center" vertical="center" textRotation="255" wrapText="1"/>
    </xf>
    <xf numFmtId="0" fontId="12" fillId="2" borderId="8"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textRotation="255" wrapText="1"/>
    </xf>
    <xf numFmtId="0" fontId="13" fillId="0" borderId="4"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49" fontId="14" fillId="0" borderId="4" xfId="0" applyNumberFormat="1" applyFont="1" applyBorder="1" applyAlignment="1">
      <alignment horizontal="center" vertical="center" textRotation="255" wrapText="1"/>
    </xf>
    <xf numFmtId="49" fontId="14" fillId="0" borderId="17" xfId="0" applyNumberFormat="1" applyFont="1" applyBorder="1" applyAlignment="1">
      <alignment horizontal="center" vertical="center" textRotation="255" wrapText="1"/>
    </xf>
    <xf numFmtId="0" fontId="13" fillId="0" borderId="16" xfId="0" applyNumberFormat="1" applyFont="1" applyFill="1" applyBorder="1" applyAlignment="1">
      <alignment horizontal="center" vertical="center" wrapText="1"/>
    </xf>
    <xf numFmtId="49" fontId="14" fillId="0" borderId="16" xfId="0" applyNumberFormat="1" applyFont="1" applyBorder="1" applyAlignment="1">
      <alignment horizontal="center" vertical="center" textRotation="255" wrapText="1"/>
    </xf>
    <xf numFmtId="0" fontId="19" fillId="0" borderId="0" xfId="0" applyFont="1" applyAlignment="1">
      <alignment horizontal="center" vertical="center"/>
    </xf>
    <xf numFmtId="0" fontId="14" fillId="0" borderId="16" xfId="0" applyFont="1" applyBorder="1" applyAlignment="1">
      <alignment horizontal="center" vertical="center" textRotation="255" wrapText="1"/>
    </xf>
    <xf numFmtId="0" fontId="10" fillId="0" borderId="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0" fillId="0" borderId="8" xfId="0" applyBorder="1" applyAlignment="1">
      <alignment horizontal="center" vertical="center" wrapText="1"/>
    </xf>
    <xf numFmtId="0" fontId="0" fillId="5" borderId="8" xfId="0" applyFill="1" applyBorder="1" applyAlignment="1">
      <alignment horizontal="center" vertical="center" wrapText="1"/>
    </xf>
    <xf numFmtId="165" fontId="0" fillId="0" borderId="8" xfId="0" applyNumberFormat="1" applyBorder="1" applyAlignment="1">
      <alignment horizontal="center" vertical="center" wrapText="1"/>
    </xf>
    <xf numFmtId="166" fontId="0" fillId="0" borderId="8" xfId="4" applyNumberFormat="1" applyFont="1" applyBorder="1" applyAlignment="1">
      <alignment horizontal="center" vertical="center" wrapText="1"/>
    </xf>
    <xf numFmtId="0" fontId="21"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9" fillId="9" borderId="3" xfId="0" applyFont="1" applyFill="1" applyBorder="1" applyAlignment="1">
      <alignment horizontal="center" vertical="center"/>
    </xf>
    <xf numFmtId="0" fontId="9" fillId="9" borderId="25" xfId="0" applyFont="1" applyFill="1" applyBorder="1" applyAlignment="1">
      <alignment horizontal="center" vertical="center"/>
    </xf>
    <xf numFmtId="0" fontId="2" fillId="11" borderId="0" xfId="0" applyFont="1" applyFill="1" applyAlignment="1">
      <alignment horizontal="center"/>
    </xf>
  </cellXfs>
  <cellStyles count="7">
    <cellStyle name="Hipervínculo" xfId="6" builtinId="8"/>
    <cellStyle name="Moneda" xfId="4" builtinId="4"/>
    <cellStyle name="Moneda 2" xfId="5" xr:uid="{00000000-0005-0000-0000-000002000000}"/>
    <cellStyle name="Normal" xfId="0" builtinId="0"/>
    <cellStyle name="Normal 2" xfId="1" xr:uid="{00000000-0005-0000-0000-000004000000}"/>
    <cellStyle name="Normal 3" xfId="2" xr:uid="{00000000-0005-0000-0000-000005000000}"/>
    <cellStyle name="Percent 2" xfId="3" xr:uid="{00000000-0005-0000-0000-000006000000}"/>
  </cellStyles>
  <dxfs count="104">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Drop" dropStyle="simple" dx="22" sel="0" val="0" widthMin="130"/>
</file>

<file path=xl/ctrlProps/ctrlProp2.xml><?xml version="1.0" encoding="utf-8"?>
<formControlPr xmlns="http://schemas.microsoft.com/office/spreadsheetml/2009/9/main" objectType="Drop" dropStyle="simple" dx="22" sel="0" val="0" widthMin="11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12</xdr:col>
      <xdr:colOff>161925</xdr:colOff>
      <xdr:row>35</xdr:row>
      <xdr:rowOff>47625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71500"/>
          <a:ext cx="11258550" cy="61436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95250" y="42334"/>
          <a:ext cx="12323186" cy="1763182"/>
          <a:chOff x="412751" y="158750"/>
          <a:chExt cx="10426652" cy="1675342"/>
        </a:xfrm>
      </xdr:grpSpPr>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9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9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9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9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9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A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A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A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A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A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B00-000002000000}"/>
            </a:ext>
          </a:extLst>
        </xdr:cNvPr>
        <xdr:cNvGrpSpPr/>
      </xdr:nvGrpSpPr>
      <xdr:grpSpPr>
        <a:xfrm>
          <a:off x="95250" y="42334"/>
          <a:ext cx="12081886" cy="1763182"/>
          <a:chOff x="412751" y="158750"/>
          <a:chExt cx="10426652" cy="1675342"/>
        </a:xfrm>
      </xdr:grpSpPr>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B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B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B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B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B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C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C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C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C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D00-000002000000}"/>
            </a:ext>
          </a:extLst>
        </xdr:cNvPr>
        <xdr:cNvGrpSpPr/>
      </xdr:nvGrpSpPr>
      <xdr:grpSpPr>
        <a:xfrm>
          <a:off x="95250" y="42334"/>
          <a:ext cx="9148186" cy="1763182"/>
          <a:chOff x="412751" y="158750"/>
          <a:chExt cx="10426652" cy="1675342"/>
        </a:xfrm>
      </xdr:grpSpPr>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D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D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D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D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D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E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E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E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E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E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95250" y="42334"/>
          <a:ext cx="8500486" cy="1763182"/>
          <a:chOff x="412751" y="158750"/>
          <a:chExt cx="10426652" cy="1675342"/>
        </a:xfrm>
      </xdr:grpSpPr>
      <xdr:pic>
        <xdr:nvPicPr>
          <xdr:cNvPr id="3" name="Imagen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F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F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F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F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F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0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0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0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0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0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100-000002000000}"/>
            </a:ext>
          </a:extLst>
        </xdr:cNvPr>
        <xdr:cNvGrpSpPr/>
      </xdr:nvGrpSpPr>
      <xdr:grpSpPr>
        <a:xfrm>
          <a:off x="95250" y="42334"/>
          <a:ext cx="13339186" cy="1763182"/>
          <a:chOff x="412751" y="158750"/>
          <a:chExt cx="10426652" cy="1675342"/>
        </a:xfrm>
      </xdr:grpSpPr>
      <xdr:pic>
        <xdr:nvPicPr>
          <xdr:cNvPr id="3" name="Imagen 2">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1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1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1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1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1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2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2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2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2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2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2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100-000002000000}"/>
            </a:ext>
          </a:extLst>
        </xdr:cNvPr>
        <xdr:cNvGrpSpPr/>
      </xdr:nvGrpSpPr>
      <xdr:grpSpPr>
        <a:xfrm>
          <a:off x="95250" y="42334"/>
          <a:ext cx="10608686" cy="1763182"/>
          <a:chOff x="412751" y="158750"/>
          <a:chExt cx="10426652" cy="1675342"/>
        </a:xfrm>
      </xdr:grpSpPr>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1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1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1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1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300-000002000000}"/>
            </a:ext>
          </a:extLst>
        </xdr:cNvPr>
        <xdr:cNvGrpSpPr/>
      </xdr:nvGrpSpPr>
      <xdr:grpSpPr>
        <a:xfrm>
          <a:off x="95250" y="42334"/>
          <a:ext cx="8729086" cy="1763182"/>
          <a:chOff x="412751" y="158750"/>
          <a:chExt cx="10426652" cy="1675342"/>
        </a:xfrm>
      </xdr:grpSpPr>
      <xdr:pic>
        <xdr:nvPicPr>
          <xdr:cNvPr id="3" name="Imagen 2">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3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3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3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3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3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4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4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4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4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4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500-000002000000}"/>
            </a:ext>
          </a:extLst>
        </xdr:cNvPr>
        <xdr:cNvGrpSpPr/>
      </xdr:nvGrpSpPr>
      <xdr:grpSpPr>
        <a:xfrm>
          <a:off x="95250" y="42334"/>
          <a:ext cx="13326486" cy="1763182"/>
          <a:chOff x="412751" y="158750"/>
          <a:chExt cx="10426652" cy="1675342"/>
        </a:xfrm>
      </xdr:grpSpPr>
      <xdr:pic>
        <xdr:nvPicPr>
          <xdr:cNvPr id="3" name="Imagen 2">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5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5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5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5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5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14</xdr:col>
          <xdr:colOff>0</xdr:colOff>
          <xdr:row>14</xdr:row>
          <xdr:rowOff>0</xdr:rowOff>
        </xdr:from>
        <xdr:to>
          <xdr:col>17</xdr:col>
          <xdr:colOff>182880</xdr:colOff>
          <xdr:row>14</xdr:row>
          <xdr:rowOff>0</xdr:rowOff>
        </xdr:to>
        <xdr:sp macro="" textlink="">
          <xdr:nvSpPr>
            <xdr:cNvPr id="2056" name=" 8" hidden="1">
              <a:extLst>
                <a:ext uri="{63B3BB69-23CF-44E3-9099-C40C66FF867C}">
                  <a14:compatExt spid="_x0000_s2056"/>
                </a:ext>
                <a:ext uri="{FF2B5EF4-FFF2-40B4-BE49-F238E27FC236}">
                  <a16:creationId xmlns:a16="http://schemas.microsoft.com/office/drawing/2014/main" id="{00000000-0008-0000-15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14</xdr:row>
          <xdr:rowOff>0</xdr:rowOff>
        </xdr:from>
        <xdr:to>
          <xdr:col>11</xdr:col>
          <xdr:colOff>182880</xdr:colOff>
          <xdr:row>14</xdr:row>
          <xdr:rowOff>0</xdr:rowOff>
        </xdr:to>
        <xdr:sp macro="" textlink="">
          <xdr:nvSpPr>
            <xdr:cNvPr id="2057" name=" 9" hidden="1">
              <a:extLst>
                <a:ext uri="{63B3BB69-23CF-44E3-9099-C40C66FF867C}">
                  <a14:compatExt spid="_x0000_s2057"/>
                </a:ext>
                <a:ext uri="{FF2B5EF4-FFF2-40B4-BE49-F238E27FC236}">
                  <a16:creationId xmlns:a16="http://schemas.microsoft.com/office/drawing/2014/main" id="{00000000-0008-0000-15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6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6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6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6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6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700-000002000000}"/>
            </a:ext>
          </a:extLst>
        </xdr:cNvPr>
        <xdr:cNvGrpSpPr/>
      </xdr:nvGrpSpPr>
      <xdr:grpSpPr>
        <a:xfrm>
          <a:off x="95250" y="42334"/>
          <a:ext cx="11218286" cy="1763182"/>
          <a:chOff x="412751" y="158750"/>
          <a:chExt cx="10426652" cy="1675342"/>
        </a:xfrm>
      </xdr:grpSpPr>
      <xdr:pic>
        <xdr:nvPicPr>
          <xdr:cNvPr id="3" name="Imagen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7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7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7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7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7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8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8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8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8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8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8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900-000002000000}"/>
            </a:ext>
          </a:extLst>
        </xdr:cNvPr>
        <xdr:cNvGrpSpPr/>
      </xdr:nvGrpSpPr>
      <xdr:grpSpPr>
        <a:xfrm>
          <a:off x="95250" y="42334"/>
          <a:ext cx="11218286" cy="1763182"/>
          <a:chOff x="412751" y="158750"/>
          <a:chExt cx="10426652" cy="1675342"/>
        </a:xfrm>
      </xdr:grpSpPr>
      <xdr:pic>
        <xdr:nvPicPr>
          <xdr:cNvPr id="3" name="Imagen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9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9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9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9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9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A00-000002000000}"/>
            </a:ext>
          </a:extLst>
        </xdr:cNvPr>
        <xdr:cNvGrpSpPr/>
      </xdr:nvGrpSpPr>
      <xdr:grpSpPr>
        <a:xfrm>
          <a:off x="95250" y="42334"/>
          <a:ext cx="14053914" cy="1695448"/>
          <a:chOff x="412751" y="158750"/>
          <a:chExt cx="10251547" cy="1675341"/>
        </a:xfrm>
      </xdr:grpSpPr>
      <xdr:pic>
        <xdr:nvPicPr>
          <xdr:cNvPr id="3" name="Imagen 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A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A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A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A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A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B00-000002000000}"/>
            </a:ext>
          </a:extLst>
        </xdr:cNvPr>
        <xdr:cNvGrpSpPr/>
      </xdr:nvGrpSpPr>
      <xdr:grpSpPr>
        <a:xfrm>
          <a:off x="95250" y="42334"/>
          <a:ext cx="11180186" cy="1695449"/>
          <a:chOff x="412751" y="158750"/>
          <a:chExt cx="10426652" cy="1675342"/>
        </a:xfrm>
      </xdr:grpSpPr>
      <xdr:pic>
        <xdr:nvPicPr>
          <xdr:cNvPr id="3" name="Imagen 2">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B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B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B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B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Octubre de 2020</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B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1C00-000002000000}"/>
            </a:ext>
          </a:extLst>
        </xdr:cNvPr>
        <xdr:cNvGrpSpPr/>
      </xdr:nvGrpSpPr>
      <xdr:grpSpPr>
        <a:xfrm>
          <a:off x="95250" y="42334"/>
          <a:ext cx="14053914" cy="1695448"/>
          <a:chOff x="412751" y="158750"/>
          <a:chExt cx="10251547" cy="1675341"/>
        </a:xfrm>
      </xdr:grpSpPr>
      <xdr:pic>
        <xdr:nvPicPr>
          <xdr:cNvPr id="3" name="Imagen 2">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C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1C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C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C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C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2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2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2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2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2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1F00-000002000000}"/>
            </a:ext>
          </a:extLst>
        </xdr:cNvPr>
        <xdr:cNvGrpSpPr/>
      </xdr:nvGrpSpPr>
      <xdr:grpSpPr>
        <a:xfrm>
          <a:off x="95250" y="42334"/>
          <a:ext cx="13722726" cy="1722542"/>
          <a:chOff x="412751" y="158750"/>
          <a:chExt cx="10426652" cy="1675342"/>
        </a:xfrm>
      </xdr:grpSpPr>
      <xdr:pic>
        <xdr:nvPicPr>
          <xdr:cNvPr id="3" name="Imagen 2">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1F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1F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REGISTRO DE EVENTOS RO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1F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1F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1F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95250" y="42334"/>
          <a:ext cx="13339186" cy="1763182"/>
          <a:chOff x="412751" y="158750"/>
          <a:chExt cx="10426652" cy="1675342"/>
        </a:xfrm>
      </xdr:grpSpPr>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3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3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3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3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3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4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4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4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4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4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95250" y="42334"/>
          <a:ext cx="10595986" cy="1763182"/>
          <a:chOff x="412751" y="158750"/>
          <a:chExt cx="10426652" cy="1675342"/>
        </a:xfrm>
      </xdr:grpSpPr>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5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5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5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5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5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6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6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6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6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429636</xdr:colOff>
      <xdr:row>8</xdr:row>
      <xdr:rowOff>179916</xdr:rowOff>
    </xdr:to>
    <xdr:grpSp>
      <xdr:nvGrpSpPr>
        <xdr:cNvPr id="2" name="Grupo 1">
          <a:extLst>
            <a:ext uri="{FF2B5EF4-FFF2-40B4-BE49-F238E27FC236}">
              <a16:creationId xmlns:a16="http://schemas.microsoft.com/office/drawing/2014/main" id="{00000000-0008-0000-0700-000002000000}"/>
            </a:ext>
          </a:extLst>
        </xdr:cNvPr>
        <xdr:cNvGrpSpPr/>
      </xdr:nvGrpSpPr>
      <xdr:grpSpPr>
        <a:xfrm>
          <a:off x="95250" y="42334"/>
          <a:ext cx="12081886" cy="1763182"/>
          <a:chOff x="412751" y="158750"/>
          <a:chExt cx="10426652" cy="1675342"/>
        </a:xfrm>
      </xdr:grpSpPr>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700-000004000000}"/>
              </a:ext>
            </a:extLst>
          </xdr:cNvPr>
          <xdr:cNvGrpSpPr>
            <a:grpSpLocks/>
          </xdr:cNvGrpSpPr>
        </xdr:nvGrpSpPr>
        <xdr:grpSpPr bwMode="auto">
          <a:xfrm>
            <a:off x="5146677" y="894292"/>
            <a:ext cx="5692726" cy="939800"/>
            <a:chOff x="813414" y="93121"/>
            <a:chExt cx="4464607" cy="590653"/>
          </a:xfrm>
        </xdr:grpSpPr>
        <xdr:sp macro="" textlink="">
          <xdr:nvSpPr>
            <xdr:cNvPr id="6" name="Cuadro de texto 2">
              <a:extLst>
                <a:ext uri="{FF2B5EF4-FFF2-40B4-BE49-F238E27FC236}">
                  <a16:creationId xmlns:a16="http://schemas.microsoft.com/office/drawing/2014/main" id="{00000000-0008-0000-0700-000006000000}"/>
                </a:ext>
              </a:extLst>
            </xdr:cNvPr>
            <xdr:cNvSpPr txBox="1"/>
          </xdr:nvSpPr>
          <xdr:spPr>
            <a:xfrm flipH="1">
              <a:off x="1510657" y="93121"/>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MATRIZ DE</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RIESGOS</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7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b="0">
                  <a:effectLst/>
                  <a:latin typeface="Arial" panose="020B0604020202020204" pitchFamily="34" charset="0"/>
                  <a:ea typeface="Times New Roman" panose="02020603050405020304" pitchFamily="18" charset="0"/>
                  <a:cs typeface="Times New Roman" panose="02020603050405020304" pitchFamily="18" charset="0"/>
                </a:rPr>
                <a:t>2</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7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7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42334</xdr:rowOff>
    </xdr:from>
    <xdr:to>
      <xdr:col>9</xdr:col>
      <xdr:colOff>187631</xdr:colOff>
      <xdr:row>8</xdr:row>
      <xdr:rowOff>179915</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95250" y="42334"/>
          <a:ext cx="14062381" cy="1763181"/>
          <a:chOff x="412751" y="158750"/>
          <a:chExt cx="10251547" cy="1675341"/>
        </a:xfrm>
      </xdr:grpSpPr>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upo 3">
            <a:extLst>
              <a:ext uri="{FF2B5EF4-FFF2-40B4-BE49-F238E27FC236}">
                <a16:creationId xmlns:a16="http://schemas.microsoft.com/office/drawing/2014/main" id="{00000000-0008-0000-0800-000004000000}"/>
              </a:ext>
            </a:extLst>
          </xdr:cNvPr>
          <xdr:cNvGrpSpPr>
            <a:grpSpLocks/>
          </xdr:cNvGrpSpPr>
        </xdr:nvGrpSpPr>
        <xdr:grpSpPr bwMode="auto">
          <a:xfrm>
            <a:off x="5146677" y="873984"/>
            <a:ext cx="5517621" cy="960107"/>
            <a:chOff x="813414" y="80358"/>
            <a:chExt cx="4327278" cy="603416"/>
          </a:xfrm>
        </xdr:grpSpPr>
        <xdr:sp macro="" textlink="">
          <xdr:nvSpPr>
            <xdr:cNvPr id="6" name="Cuadro de texto 2">
              <a:extLst>
                <a:ext uri="{FF2B5EF4-FFF2-40B4-BE49-F238E27FC236}">
                  <a16:creationId xmlns:a16="http://schemas.microsoft.com/office/drawing/2014/main" id="{00000000-0008-0000-0800-000006000000}"/>
                </a:ext>
              </a:extLst>
            </xdr:cNvPr>
            <xdr:cNvSpPr txBox="1"/>
          </xdr:nvSpPr>
          <xdr:spPr>
            <a:xfrm flipH="1">
              <a:off x="1210375" y="80358"/>
              <a:ext cx="3767364" cy="29067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1200" b="1">
                  <a:effectLst/>
                  <a:latin typeface="Arial" panose="020B0604020202020204" pitchFamily="34" charset="0"/>
                  <a:ea typeface="Times New Roman" panose="02020603050405020304" pitchFamily="18" charset="0"/>
                  <a:cs typeface="Times New Roman" panose="02020603050405020304" pitchFamily="18" charset="0"/>
                </a:rPr>
                <a:t>FORMATO IDENTIFICACIÓN Y SEGUIMIENTO PLANES</a:t>
              </a:r>
              <a:r>
                <a:rPr lang="es-ES" sz="1200" b="1" baseline="0">
                  <a:effectLst/>
                  <a:latin typeface="Arial" panose="020B0604020202020204" pitchFamily="34" charset="0"/>
                  <a:ea typeface="Times New Roman" panose="02020603050405020304" pitchFamily="18" charset="0"/>
                  <a:cs typeface="Times New Roman" panose="02020603050405020304" pitchFamily="18" charset="0"/>
                </a:rPr>
                <a:t> DE ACCIÓN Y TRATAMIENTO</a:t>
              </a:r>
              <a:endParaRPr lang="es-CO" sz="14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7" name="Cuadro de texto 3">
              <a:extLst>
                <a:ext uri="{FF2B5EF4-FFF2-40B4-BE49-F238E27FC236}">
                  <a16:creationId xmlns:a16="http://schemas.microsoft.com/office/drawing/2014/main" id="{00000000-0008-0000-0800-000007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 name="Cuadro de texto 4">
              <a:extLst>
                <a:ext uri="{FF2B5EF4-FFF2-40B4-BE49-F238E27FC236}">
                  <a16:creationId xmlns:a16="http://schemas.microsoft.com/office/drawing/2014/main" id="{00000000-0008-0000-0800-000008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Abril 24 de 2019</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5" name="Imagen 4" descr="Resultado de imagen para infider">
            <a:extLst>
              <a:ext uri="{FF2B5EF4-FFF2-40B4-BE49-F238E27FC236}">
                <a16:creationId xmlns:a16="http://schemas.microsoft.com/office/drawing/2014/main" id="{00000000-0008-0000-08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465b4c74a16a1bd/INFIDER/4.%20SARO/SARO%20INFIDER/matricesderiesgosporprocesos/MATRICES%20DE%20RIESGO%20INFIDER%202020%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P"/>
      <sheetName val="01-GESTIÓN ESTRATÉGICA"/>
      <sheetName val="01-FORMATO ID Y SEGUI"/>
      <sheetName val="02-GESTIÓN DEL TALENTO HUMANO"/>
      <sheetName val="02-FORMATO ID Y SEGUI"/>
      <sheetName val="03-CAPTACIÓN"/>
      <sheetName val="03-FORMATO ID Y SEGUI"/>
      <sheetName val="04-INVERSIONES"/>
      <sheetName val="04-FORMATO ID Y SEGUI"/>
      <sheetName val="05-COLOCACIÓN"/>
      <sheetName val="05-FORMATO ID Y SEGUI"/>
      <sheetName val="06-GESTIÓN DE PROYECTOS"/>
      <sheetName val="06-FORMATO ID Y SEGUI"/>
      <sheetName val="07-GESTIÓN CONT. Y DEF JURÍDICA"/>
      <sheetName val="07-FORMATO ID Y SEGUI"/>
      <sheetName val="08-GESTIÓN DE CALIDAD"/>
      <sheetName val="08-FORMATO ID Y SEGUI"/>
      <sheetName val="09-GESTIÓN ADTVA"/>
      <sheetName val="09-FORMATO ID Y SEGUI"/>
      <sheetName val="10-GESTIÓN FINANCIERA"/>
      <sheetName val="10-FORMATO ID Y SEGUI"/>
      <sheetName val="11-TICS"/>
      <sheetName val="11-FORMATO ID Y SEGUI"/>
      <sheetName val="12-SEGUIMIENTO INSTITUCIONAL"/>
      <sheetName val="12-FORMATO ID Y SEGUI"/>
      <sheetName val="13-GESTIÓN DE RIESGOS"/>
      <sheetName val="13-FORMATO ID Y SEGUI"/>
      <sheetName val="13.1-LAFT"/>
      <sheetName val="TABLAS"/>
      <sheetName val="MAPA DE CALOR"/>
      <sheetName val="EVENTOS 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t="str">
            <v>No significativo (1)</v>
          </cell>
          <cell r="C13" t="str">
            <v>Menor (2)</v>
          </cell>
          <cell r="D13" t="str">
            <v>Moderado (3)</v>
          </cell>
          <cell r="E13" t="str">
            <v>Mayor (4)</v>
          </cell>
          <cell r="F13" t="str">
            <v>Catastrófico (5)</v>
          </cell>
        </row>
        <row r="14">
          <cell r="A14">
            <v>1</v>
          </cell>
          <cell r="B14" t="str">
            <v>B</v>
          </cell>
          <cell r="C14" t="str">
            <v>B</v>
          </cell>
          <cell r="D14" t="str">
            <v>M</v>
          </cell>
          <cell r="E14" t="str">
            <v>A</v>
          </cell>
          <cell r="F14" t="str">
            <v>A</v>
          </cell>
        </row>
        <row r="15">
          <cell r="A15">
            <v>2</v>
          </cell>
          <cell r="B15" t="str">
            <v>B</v>
          </cell>
          <cell r="C15" t="str">
            <v>B</v>
          </cell>
          <cell r="D15" t="str">
            <v>M</v>
          </cell>
          <cell r="E15" t="str">
            <v>A</v>
          </cell>
          <cell r="F15" t="str">
            <v>E</v>
          </cell>
        </row>
        <row r="16">
          <cell r="A16">
            <v>3</v>
          </cell>
          <cell r="B16" t="str">
            <v>B</v>
          </cell>
          <cell r="C16" t="str">
            <v>M</v>
          </cell>
          <cell r="D16" t="str">
            <v>A</v>
          </cell>
          <cell r="E16" t="str">
            <v>E</v>
          </cell>
          <cell r="F16" t="str">
            <v>E</v>
          </cell>
        </row>
        <row r="17">
          <cell r="A17">
            <v>4</v>
          </cell>
          <cell r="B17" t="str">
            <v>M</v>
          </cell>
          <cell r="C17" t="str">
            <v>A</v>
          </cell>
          <cell r="D17" t="str">
            <v>A</v>
          </cell>
          <cell r="E17" t="str">
            <v>E</v>
          </cell>
          <cell r="F17" t="str">
            <v>E</v>
          </cell>
        </row>
        <row r="18">
          <cell r="A18">
            <v>5</v>
          </cell>
          <cell r="B18" t="str">
            <v>A</v>
          </cell>
          <cell r="C18" t="str">
            <v>A</v>
          </cell>
          <cell r="D18" t="str">
            <v>E</v>
          </cell>
          <cell r="E18" t="str">
            <v>E</v>
          </cell>
          <cell r="F18" t="str">
            <v>E</v>
          </cell>
        </row>
        <row r="22">
          <cell r="A22" t="str">
            <v>B</v>
          </cell>
          <cell r="B22" t="str">
            <v>Asumir y monitoreo</v>
          </cell>
        </row>
        <row r="23">
          <cell r="A23" t="str">
            <v>M</v>
          </cell>
          <cell r="B23" t="str">
            <v>Asumir, mitigar el riesgo</v>
          </cell>
        </row>
        <row r="24">
          <cell r="A24" t="str">
            <v>A</v>
          </cell>
          <cell r="B24" t="str">
            <v>Plan de Acción para mitigar, evitar, compartir o transferir el riesgo.</v>
          </cell>
        </row>
        <row r="25">
          <cell r="A25" t="str">
            <v>E</v>
          </cell>
          <cell r="B25" t="str">
            <v>Acción inmediata para mitigar, evitar, compartir o transferir el riesgo.</v>
          </cell>
        </row>
        <row r="30">
          <cell r="A30" t="str">
            <v>Automático</v>
          </cell>
          <cell r="B30">
            <v>3</v>
          </cell>
          <cell r="C30" t="str">
            <v>Preventivo</v>
          </cell>
          <cell r="D30">
            <v>3</v>
          </cell>
          <cell r="E30" t="str">
            <v>Implementado y documentado</v>
          </cell>
          <cell r="F30">
            <v>3</v>
          </cell>
          <cell r="G30" t="str">
            <v>Siempre</v>
          </cell>
          <cell r="H30">
            <v>3</v>
          </cell>
          <cell r="I30" t="str">
            <v>En medios digitales</v>
          </cell>
          <cell r="J30">
            <v>3</v>
          </cell>
        </row>
        <row r="31">
          <cell r="A31" t="str">
            <v>Semiautomático</v>
          </cell>
          <cell r="B31">
            <v>2</v>
          </cell>
          <cell r="C31" t="str">
            <v>Detectivo</v>
          </cell>
          <cell r="D31">
            <v>2</v>
          </cell>
          <cell r="E31" t="str">
            <v>Implementado y no documentado</v>
          </cell>
          <cell r="F31">
            <v>2</v>
          </cell>
          <cell r="G31" t="str">
            <v>La mayoría de veces</v>
          </cell>
          <cell r="H31">
            <v>2</v>
          </cell>
          <cell r="I31" t="str">
            <v>Física y Digital</v>
          </cell>
          <cell r="J31">
            <v>3</v>
          </cell>
        </row>
        <row r="32">
          <cell r="A32" t="str">
            <v>Manual</v>
          </cell>
          <cell r="B32">
            <v>1</v>
          </cell>
          <cell r="C32" t="str">
            <v>Persuasivo</v>
          </cell>
          <cell r="D32">
            <v>2</v>
          </cell>
          <cell r="E32" t="str">
            <v>No implementado y documentado</v>
          </cell>
          <cell r="F32">
            <v>1</v>
          </cell>
          <cell r="G32" t="str">
            <v>Algunas veces</v>
          </cell>
          <cell r="H32">
            <v>1</v>
          </cell>
          <cell r="I32" t="str">
            <v>Solo física</v>
          </cell>
          <cell r="J32">
            <v>2</v>
          </cell>
        </row>
        <row r="33">
          <cell r="C33" t="str">
            <v>Correctivo</v>
          </cell>
          <cell r="D33">
            <v>1</v>
          </cell>
          <cell r="E33" t="str">
            <v>En desarrollo</v>
          </cell>
          <cell r="F33">
            <v>0</v>
          </cell>
          <cell r="G33" t="str">
            <v>Nunca</v>
          </cell>
          <cell r="H33">
            <v>0</v>
          </cell>
          <cell r="I33" t="str">
            <v>No se evidencia</v>
          </cell>
          <cell r="J33">
            <v>0</v>
          </cell>
        </row>
        <row r="39">
          <cell r="A39">
            <v>2.2000000000000002</v>
          </cell>
          <cell r="C39">
            <v>1</v>
          </cell>
        </row>
      </sheetData>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E39:F51"/>
  <sheetViews>
    <sheetView view="pageBreakPreview" topLeftCell="B18" zoomScale="60" zoomScaleNormal="100" workbookViewId="0">
      <selection activeCell="R18" sqref="R18"/>
    </sheetView>
  </sheetViews>
  <sheetFormatPr baseColWidth="10" defaultColWidth="10.6640625" defaultRowHeight="14.4" x14ac:dyDescent="0.3"/>
  <cols>
    <col min="5" max="5" width="52.109375" bestFit="1" customWidth="1"/>
  </cols>
  <sheetData>
    <row r="39" spans="5:6" ht="17.399999999999999" x14ac:dyDescent="0.3">
      <c r="E39" s="127" t="s">
        <v>402</v>
      </c>
      <c r="F39" s="110">
        <v>1</v>
      </c>
    </row>
    <row r="40" spans="5:6" ht="17.399999999999999" x14ac:dyDescent="0.3">
      <c r="E40" s="127" t="s">
        <v>439</v>
      </c>
      <c r="F40" s="111">
        <v>2</v>
      </c>
    </row>
    <row r="41" spans="5:6" ht="17.399999999999999" x14ac:dyDescent="0.3">
      <c r="E41" s="128" t="s">
        <v>440</v>
      </c>
      <c r="F41" s="112">
        <v>3</v>
      </c>
    </row>
    <row r="42" spans="5:6" ht="17.399999999999999" x14ac:dyDescent="0.3">
      <c r="E42" s="128" t="s">
        <v>403</v>
      </c>
      <c r="F42" s="113">
        <v>4</v>
      </c>
    </row>
    <row r="43" spans="5:6" ht="17.399999999999999" x14ac:dyDescent="0.3">
      <c r="E43" s="128" t="s">
        <v>401</v>
      </c>
      <c r="F43" s="112">
        <v>5</v>
      </c>
    </row>
    <row r="44" spans="5:6" ht="17.399999999999999" x14ac:dyDescent="0.3">
      <c r="E44" s="128" t="s">
        <v>443</v>
      </c>
      <c r="F44" s="113">
        <v>6</v>
      </c>
    </row>
    <row r="45" spans="5:6" ht="34.799999999999997" x14ac:dyDescent="0.3">
      <c r="E45" s="129" t="s">
        <v>442</v>
      </c>
      <c r="F45" s="114">
        <v>7</v>
      </c>
    </row>
    <row r="46" spans="5:6" ht="17.399999999999999" x14ac:dyDescent="0.3">
      <c r="E46" s="129" t="s">
        <v>441</v>
      </c>
      <c r="F46" s="115">
        <v>8</v>
      </c>
    </row>
    <row r="47" spans="5:6" ht="17.399999999999999" x14ac:dyDescent="0.3">
      <c r="E47" s="129" t="s">
        <v>444</v>
      </c>
      <c r="F47" s="114">
        <v>9</v>
      </c>
    </row>
    <row r="48" spans="5:6" ht="17.399999999999999" x14ac:dyDescent="0.3">
      <c r="E48" s="129" t="s">
        <v>445</v>
      </c>
      <c r="F48" s="115">
        <v>10</v>
      </c>
    </row>
    <row r="49" spans="5:6" ht="17.399999999999999" x14ac:dyDescent="0.3">
      <c r="E49" s="130" t="s">
        <v>446</v>
      </c>
      <c r="F49" s="116">
        <v>11</v>
      </c>
    </row>
    <row r="50" spans="5:6" ht="17.399999999999999" x14ac:dyDescent="0.3">
      <c r="E50" s="130" t="s">
        <v>447</v>
      </c>
      <c r="F50" s="117">
        <v>12</v>
      </c>
    </row>
    <row r="51" spans="5:6" ht="17.399999999999999" x14ac:dyDescent="0.3">
      <c r="E51" s="130" t="s">
        <v>448</v>
      </c>
      <c r="F51" s="116">
        <v>13</v>
      </c>
    </row>
  </sheetData>
  <sheetProtection algorithmName="SHA-512" hashValue="xjiNkvqloCu4kZoNNeR25sVJA7XlxwZpI0SA0aFgGbgsgGamrQfhNegWkhDqN6iicgzHpUz9sVdhk9q8VsQE4A==" saltValue="OF9uz9e8EMiON/2OTWxd1w==" spinCount="100000" sheet="1" objects="1" scenarios="1"/>
  <pageMargins left="0.7" right="0.7" top="0.75" bottom="0.75" header="0.3" footer="0.3"/>
  <pageSetup scale="65" orientation="portrait" r:id="rId1"/>
  <colBreaks count="1" manualBreakCount="1">
    <brk id="4" max="50"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0:AG115"/>
  <sheetViews>
    <sheetView view="pageBreakPreview" topLeftCell="U28" zoomScale="60" zoomScaleNormal="80" workbookViewId="0">
      <selection activeCell="AC16" sqref="AC16"/>
    </sheetView>
  </sheetViews>
  <sheetFormatPr baseColWidth="10" defaultColWidth="11.44140625" defaultRowHeight="15.6" x14ac:dyDescent="0.3"/>
  <cols>
    <col min="1" max="1" width="11.44140625" style="25"/>
    <col min="2" max="5" width="20.109375" style="25" customWidth="1"/>
    <col min="6" max="6" width="15.6640625" style="25" customWidth="1"/>
    <col min="7" max="7" width="18" style="25" customWidth="1"/>
    <col min="8" max="8" width="15.44140625" style="25" customWidth="1"/>
    <col min="9" max="9" width="33.5546875" style="25" customWidth="1"/>
    <col min="10" max="10" width="18" style="25" customWidth="1"/>
    <col min="11" max="11" width="28" style="25" hidden="1" customWidth="1"/>
    <col min="12" max="12" width="13.88671875" style="25" customWidth="1"/>
    <col min="13" max="13" width="28" style="25" hidden="1" customWidth="1"/>
    <col min="14" max="14" width="18.6640625" style="25" customWidth="1"/>
    <col min="15" max="15" width="28" style="25" hidden="1" customWidth="1"/>
    <col min="16" max="16" width="15.88671875" style="25" customWidth="1"/>
    <col min="17" max="17" width="28" style="25" hidden="1" customWidth="1"/>
    <col min="18" max="18" width="17.5546875" style="25" customWidth="1"/>
    <col min="19" max="19" width="28" style="25" hidden="1" customWidth="1"/>
    <col min="20" max="20" width="15.44140625" style="25" customWidth="1"/>
    <col min="21" max="21" width="17.88671875" style="25" customWidth="1"/>
    <col min="22" max="22" width="15.33203125" style="25" customWidth="1"/>
    <col min="23" max="23" width="16.88671875" style="25" customWidth="1"/>
    <col min="24" max="24" width="19.88671875" style="25" customWidth="1"/>
    <col min="25" max="26" width="18.44140625" style="25" customWidth="1"/>
    <col min="27" max="27" width="19.5546875" style="25" customWidth="1"/>
    <col min="28" max="30" width="11.44140625" style="25"/>
    <col min="31" max="31" width="15.5546875" style="25" customWidth="1"/>
    <col min="32" max="16384" width="11.44140625" style="25"/>
  </cols>
  <sheetData>
    <row r="10" spans="1:33" ht="23.4" x14ac:dyDescent="0.3">
      <c r="A10" s="201" t="s">
        <v>343</v>
      </c>
      <c r="B10" s="201"/>
      <c r="C10" s="201"/>
      <c r="D10" s="201"/>
      <c r="E10" s="202" t="s">
        <v>344</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171.6" x14ac:dyDescent="0.3">
      <c r="A15" s="217">
        <v>1</v>
      </c>
      <c r="B15" s="215" t="s">
        <v>206</v>
      </c>
      <c r="C15" s="35" t="s">
        <v>200</v>
      </c>
      <c r="D15" s="26" t="s">
        <v>375</v>
      </c>
      <c r="E15" s="26" t="s">
        <v>383</v>
      </c>
      <c r="F15" s="24">
        <v>2</v>
      </c>
      <c r="G15" s="24" t="s">
        <v>52</v>
      </c>
      <c r="H15" s="24" t="str">
        <f>INDEX(TABLAS!$B$14:$F$18,MATCH(F15,TABLAS!$A$14:$A$18,0),MATCH(G15,TABLAS!$B$13:$F$13,0))</f>
        <v>M</v>
      </c>
      <c r="I15" s="26" t="s">
        <v>163</v>
      </c>
      <c r="J15" s="27" t="s">
        <v>69</v>
      </c>
      <c r="K15" s="27">
        <f>IF(J15="","",VLOOKUP(J15,TABLAS!$A$30:$B$32,2,0))</f>
        <v>1</v>
      </c>
      <c r="L15" s="27" t="s">
        <v>65</v>
      </c>
      <c r="M15" s="27">
        <f>IF(L15="","",VLOOKUP(L15,TABLAS!$C$30:$D$33,2,0))</f>
        <v>3</v>
      </c>
      <c r="N15" s="27" t="s">
        <v>76</v>
      </c>
      <c r="O15" s="27">
        <f>+IF(N15="","",VLOOKUP(N15,TABLAS!$E$30:$F$33,2,0))</f>
        <v>3</v>
      </c>
      <c r="P15" s="27" t="s">
        <v>81</v>
      </c>
      <c r="Q15" s="27">
        <f>+IF(P15="","",VLOOKUP(P15,TABLAS!$G$30:$H$33,2,0))</f>
        <v>3</v>
      </c>
      <c r="R15" s="27" t="s">
        <v>87</v>
      </c>
      <c r="S15" s="27">
        <f>+IF(R15="","",VLOOKUP(R15,TABLAS!$I$30:$J$33,2,0))</f>
        <v>3</v>
      </c>
      <c r="T15" s="27">
        <f t="shared" ref="T15:T21" si="0">IFERROR(K15*25%+M15*10%+O15*25%+Q15*20%+S15*20%,0)</f>
        <v>2.5</v>
      </c>
      <c r="U15" s="24">
        <f>+IF(T15&gt;=TABLAS!$A$39,F15-TABLAS!$C$39,F15)</f>
        <v>1</v>
      </c>
      <c r="V15" s="24" t="s">
        <v>51</v>
      </c>
      <c r="W15" s="24" t="str">
        <f>INDEX(TABLAS!$B$14:$F$18,MATCH(U15,TABLAS!$A$14:$A$18,0),MATCH(V15,TABLAS!$B$13:$F$13,0))</f>
        <v>B</v>
      </c>
      <c r="X15" s="26" t="str">
        <f>+VLOOKUP(W15,TABLAS!$A$22:$B$25,2,0)</f>
        <v>Asumir y monitoreo</v>
      </c>
      <c r="Y15" s="26" t="s">
        <v>103</v>
      </c>
      <c r="Z15" s="26" t="s">
        <v>101</v>
      </c>
      <c r="AA15" s="26" t="s">
        <v>399</v>
      </c>
      <c r="AB15" s="24" t="s">
        <v>36</v>
      </c>
      <c r="AC15" s="92" t="s">
        <v>605</v>
      </c>
      <c r="AD15" s="24" t="s">
        <v>36</v>
      </c>
      <c r="AE15" s="177"/>
      <c r="AF15" s="24" t="s">
        <v>36</v>
      </c>
      <c r="AG15" s="24"/>
    </row>
    <row r="16" spans="1:33" ht="124.8" x14ac:dyDescent="0.3">
      <c r="A16" s="217"/>
      <c r="B16" s="216"/>
      <c r="C16" s="26" t="s">
        <v>201</v>
      </c>
      <c r="D16" s="26" t="s">
        <v>202</v>
      </c>
      <c r="E16" s="26" t="s">
        <v>383</v>
      </c>
      <c r="F16" s="24">
        <v>2</v>
      </c>
      <c r="G16" s="24" t="s">
        <v>53</v>
      </c>
      <c r="H16" s="24" t="str">
        <f>INDEX(TABLAS!$B$14:$F$18,MATCH(F16,TABLAS!$A$14:$A$18,0),MATCH(G16,TABLAS!$B$13:$F$13,0))</f>
        <v>A</v>
      </c>
      <c r="I16" s="26" t="s">
        <v>387</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88</v>
      </c>
      <c r="S16" s="27">
        <f>+IF(R16="","",VLOOKUP(R16,TABLAS!$I$30:$J$33,2,0))</f>
        <v>2</v>
      </c>
      <c r="T16" s="27">
        <f t="shared" si="0"/>
        <v>2.3000000000000003</v>
      </c>
      <c r="U16" s="24">
        <f>+IF(T16&gt;=TABLAS!$A$39,F16-TABLAS!$C$39,F16)</f>
        <v>1</v>
      </c>
      <c r="V16" s="24" t="s">
        <v>52</v>
      </c>
      <c r="W16" s="24" t="str">
        <f>INDEX(TABLAS!$B$14:$F$18,MATCH(U16,TABLAS!$A$14:$A$18,0),MATCH(V16,TABLAS!$B$13:$F$13,0))</f>
        <v>M</v>
      </c>
      <c r="X16" s="26" t="str">
        <f>+VLOOKUP(W16,TABLAS!$A$22:$B$25,2,0)</f>
        <v>Asumir, mitigar el riesgo</v>
      </c>
      <c r="Y16" s="26"/>
      <c r="Z16" s="26" t="s">
        <v>108</v>
      </c>
      <c r="AA16" s="26" t="s">
        <v>400</v>
      </c>
      <c r="AB16" s="24" t="s">
        <v>36</v>
      </c>
      <c r="AC16" s="24"/>
      <c r="AD16" s="24" t="s">
        <v>36</v>
      </c>
      <c r="AE16" s="24"/>
      <c r="AF16" s="24" t="s">
        <v>36</v>
      </c>
      <c r="AG16" s="24"/>
    </row>
    <row r="17" spans="1:33" ht="113.25" customHeight="1" x14ac:dyDescent="0.3">
      <c r="A17" s="218">
        <v>2</v>
      </c>
      <c r="B17" s="213" t="s">
        <v>208</v>
      </c>
      <c r="C17" s="26" t="s">
        <v>584</v>
      </c>
      <c r="D17" s="26" t="s">
        <v>202</v>
      </c>
      <c r="E17" s="26" t="s">
        <v>385</v>
      </c>
      <c r="F17" s="24">
        <v>2</v>
      </c>
      <c r="G17" s="24" t="s">
        <v>52</v>
      </c>
      <c r="H17" s="24" t="str">
        <f>INDEX(TABLAS!$B$14:$F$18,MATCH(F17,TABLAS!$A$14:$A$18,0),MATCH(G17,TABLAS!$B$13:$F$13,0))</f>
        <v>M</v>
      </c>
      <c r="I17" s="26" t="s">
        <v>100</v>
      </c>
      <c r="J17" s="27" t="s">
        <v>69</v>
      </c>
      <c r="K17" s="27">
        <f>IF(J17="","",VLOOKUP(J17,TABLAS!$A$30:$B$32,2,0))</f>
        <v>1</v>
      </c>
      <c r="L17" s="27" t="s">
        <v>65</v>
      </c>
      <c r="M17" s="27">
        <f>IF(L17="","",VLOOKUP(L17,TABLAS!$C$30:$D$33,2,0))</f>
        <v>3</v>
      </c>
      <c r="N17" s="27" t="s">
        <v>76</v>
      </c>
      <c r="O17" s="27">
        <f>+IF(N17="","",VLOOKUP(N17,TABLAS!$E$30:$F$33,2,0))</f>
        <v>3</v>
      </c>
      <c r="P17" s="27" t="s">
        <v>81</v>
      </c>
      <c r="Q17" s="27">
        <f>+IF(P17="","",VLOOKUP(P17,TABLAS!$G$30:$H$33,2,0))</f>
        <v>3</v>
      </c>
      <c r="R17" s="27" t="s">
        <v>87</v>
      </c>
      <c r="S17" s="27">
        <f>+IF(R17="","",VLOOKUP(R17,TABLAS!$I$30:$J$33,2,0))</f>
        <v>3</v>
      </c>
      <c r="T17" s="27">
        <f t="shared" si="0"/>
        <v>2.5</v>
      </c>
      <c r="U17" s="24">
        <f>+IF(T17&gt;=TABLAS!$A$39,F17-TABLAS!$C$39,F17)</f>
        <v>1</v>
      </c>
      <c r="V17" s="24" t="s">
        <v>51</v>
      </c>
      <c r="W17" s="24" t="str">
        <f>INDEX(TABLAS!$B$14:$F$18,MATCH(U17,TABLAS!$A$14:$A$18,0),MATCH(V17,TABLAS!$B$13:$F$13,0))</f>
        <v>B</v>
      </c>
      <c r="X17" s="26" t="str">
        <f>+VLOOKUP(W17,TABLAS!$A$22:$B$25,2,0)</f>
        <v>Asumir y monitoreo</v>
      </c>
      <c r="Y17" s="26" t="s">
        <v>103</v>
      </c>
      <c r="Z17" s="26" t="s">
        <v>101</v>
      </c>
      <c r="AA17" s="26" t="s">
        <v>102</v>
      </c>
      <c r="AB17" s="24" t="s">
        <v>36</v>
      </c>
      <c r="AC17" s="24"/>
      <c r="AD17" s="24" t="s">
        <v>36</v>
      </c>
      <c r="AE17" s="24"/>
      <c r="AF17" s="24" t="s">
        <v>36</v>
      </c>
      <c r="AG17" s="24"/>
    </row>
    <row r="18" spans="1:33" ht="213.75" customHeight="1" x14ac:dyDescent="0.3">
      <c r="A18" s="219"/>
      <c r="B18" s="214"/>
      <c r="C18" s="26" t="s">
        <v>585</v>
      </c>
      <c r="D18" s="26" t="s">
        <v>202</v>
      </c>
      <c r="E18" s="26" t="s">
        <v>385</v>
      </c>
      <c r="F18" s="24">
        <v>2</v>
      </c>
      <c r="G18" s="24" t="s">
        <v>53</v>
      </c>
      <c r="H18" s="24" t="str">
        <f>INDEX(TABLAS!$B$14:$F$18,MATCH(F18,TABLAS!$A$14:$A$18,0),MATCH(G18,TABLAS!$B$13:$F$13,0))</f>
        <v>A</v>
      </c>
      <c r="I18" s="26" t="s">
        <v>111</v>
      </c>
      <c r="J18" s="27" t="s">
        <v>106</v>
      </c>
      <c r="K18" s="27">
        <f>IF(J18="","",VLOOKUP(J18,TABLAS!$A$30:$B$32,2,0))</f>
        <v>2</v>
      </c>
      <c r="L18" s="27" t="s">
        <v>65</v>
      </c>
      <c r="M18" s="27">
        <f>IF(L18="","",VLOOKUP(L18,TABLAS!$C$30:$D$33,2,0))</f>
        <v>3</v>
      </c>
      <c r="N18" s="27" t="s">
        <v>76</v>
      </c>
      <c r="O18" s="27">
        <f>+IF(N18="","",VLOOKUP(N18,TABLAS!$E$30:$F$33,2,0))</f>
        <v>3</v>
      </c>
      <c r="P18" s="27" t="s">
        <v>81</v>
      </c>
      <c r="Q18" s="27">
        <f>+IF(P18="","",VLOOKUP(P18,TABLAS!$G$30:$H$33,2,0))</f>
        <v>3</v>
      </c>
      <c r="R18" s="27" t="s">
        <v>87</v>
      </c>
      <c r="S18" s="27">
        <f>+IF(R18="","",VLOOKUP(R18,TABLAS!$I$30:$J$33,2,0))</f>
        <v>3</v>
      </c>
      <c r="T18" s="27">
        <f t="shared" si="0"/>
        <v>2.7500000000000004</v>
      </c>
      <c r="U18" s="24">
        <f>+IF(T18&gt;=TABLAS!$A$39,F18-TABLAS!$C$39,F18)</f>
        <v>1</v>
      </c>
      <c r="V18" s="24" t="s">
        <v>52</v>
      </c>
      <c r="W18" s="24" t="str">
        <f>INDEX(TABLAS!$B$14:$F$18,MATCH(U18,TABLAS!$A$14:$A$18,0),MATCH(V18,TABLAS!$B$13:$F$13,0))</f>
        <v>M</v>
      </c>
      <c r="X18" s="26" t="str">
        <f>+VLOOKUP(W18,TABLAS!$A$22:$B$25,2,0)</f>
        <v>Asumir, mitigar el riesgo</v>
      </c>
      <c r="Y18" s="26" t="s">
        <v>103</v>
      </c>
      <c r="Z18" s="26" t="s">
        <v>104</v>
      </c>
      <c r="AA18" s="26" t="s">
        <v>211</v>
      </c>
      <c r="AB18" s="24" t="s">
        <v>36</v>
      </c>
      <c r="AC18" s="24"/>
      <c r="AD18" s="24" t="s">
        <v>36</v>
      </c>
      <c r="AE18" s="24"/>
      <c r="AF18" s="24" t="s">
        <v>36</v>
      </c>
      <c r="AG18" s="24"/>
    </row>
    <row r="19" spans="1:33" ht="187.2" x14ac:dyDescent="0.3">
      <c r="A19" s="211">
        <v>3</v>
      </c>
      <c r="B19" s="213" t="s">
        <v>209</v>
      </c>
      <c r="C19" s="26" t="s">
        <v>210</v>
      </c>
      <c r="D19" s="26" t="s">
        <v>202</v>
      </c>
      <c r="E19" s="26" t="s">
        <v>385</v>
      </c>
      <c r="F19" s="24">
        <v>2</v>
      </c>
      <c r="G19" s="24" t="s">
        <v>53</v>
      </c>
      <c r="H19" s="24" t="str">
        <f>INDEX(TABLAS!$B$14:$F$18,MATCH(F19,TABLAS!$A$14:$A$18,0),MATCH(G19,TABLAS!$B$13:$F$13,0))</f>
        <v>A</v>
      </c>
      <c r="I19" s="26" t="s">
        <v>112</v>
      </c>
      <c r="J19" s="27" t="s">
        <v>69</v>
      </c>
      <c r="K19" s="27">
        <f>IF(J19="","",VLOOKUP(J19,TABLAS!$A$30:$B$32,2,0))</f>
        <v>1</v>
      </c>
      <c r="L19" s="27" t="s">
        <v>65</v>
      </c>
      <c r="M19" s="27">
        <f>IF(L19="","",VLOOKUP(L19,TABLAS!$C$30:$D$33,2,0))</f>
        <v>3</v>
      </c>
      <c r="N19" s="27" t="s">
        <v>76</v>
      </c>
      <c r="O19" s="27">
        <f>+IF(N19="","",VLOOKUP(N19,TABLAS!$E$30:$F$33,2,0))</f>
        <v>3</v>
      </c>
      <c r="P19" s="27" t="s">
        <v>81</v>
      </c>
      <c r="Q19" s="27">
        <f>+IF(P19="","",VLOOKUP(P19,TABLAS!$G$30:$H$33,2,0))</f>
        <v>3</v>
      </c>
      <c r="R19" s="27" t="s">
        <v>87</v>
      </c>
      <c r="S19" s="27">
        <f>+IF(R19="","",VLOOKUP(R19,TABLAS!$I$30:$J$33,2,0))</f>
        <v>3</v>
      </c>
      <c r="T19" s="27">
        <f t="shared" si="0"/>
        <v>2.5</v>
      </c>
      <c r="U19" s="24">
        <f>+IF(T19&gt;=TABLAS!$A$39,F19-TABLAS!$C$39,F19)</f>
        <v>1</v>
      </c>
      <c r="V19" s="24" t="s">
        <v>52</v>
      </c>
      <c r="W19" s="24" t="str">
        <f>INDEX(TABLAS!$B$14:$F$18,MATCH(U19,TABLAS!$A$14:$A$18,0),MATCH(V19,TABLAS!$B$13:$F$13,0))</f>
        <v>M</v>
      </c>
      <c r="X19" s="26" t="str">
        <f>+VLOOKUP(W19,TABLAS!$A$22:$B$25,2,0)</f>
        <v>Asumir, mitigar el riesgo</v>
      </c>
      <c r="Y19" s="26" t="s">
        <v>103</v>
      </c>
      <c r="Z19" s="26" t="s">
        <v>99</v>
      </c>
      <c r="AA19" s="26" t="s">
        <v>212</v>
      </c>
      <c r="AB19" s="24" t="s">
        <v>36</v>
      </c>
      <c r="AC19" s="24"/>
      <c r="AD19" s="24" t="s">
        <v>36</v>
      </c>
      <c r="AE19" s="24"/>
      <c r="AF19" s="24" t="s">
        <v>36</v>
      </c>
      <c r="AG19" s="24"/>
    </row>
    <row r="20" spans="1:33" s="156" customFormat="1" ht="109.2" x14ac:dyDescent="0.3">
      <c r="A20" s="212"/>
      <c r="B20" s="214"/>
      <c r="C20" s="157" t="s">
        <v>390</v>
      </c>
      <c r="D20" s="157" t="s">
        <v>376</v>
      </c>
      <c r="E20" s="157" t="s">
        <v>380</v>
      </c>
      <c r="F20" s="24">
        <v>2</v>
      </c>
      <c r="G20" s="24" t="s">
        <v>53</v>
      </c>
      <c r="H20" s="24" t="str">
        <f>INDEX(TABLAS!$B$14:$F$18,MATCH(F20,TABLAS!$A$14:$A$18,0),MATCH(G20,TABLAS!$B$13:$F$13,0))</f>
        <v>A</v>
      </c>
      <c r="I20" s="92" t="s">
        <v>394</v>
      </c>
      <c r="J20" s="27" t="s">
        <v>69</v>
      </c>
      <c r="K20" s="27">
        <f>IF(J20="","",VLOOKUP(J20,TABLAS!$A$30:$B$32,2,0))</f>
        <v>1</v>
      </c>
      <c r="L20" s="27" t="s">
        <v>65</v>
      </c>
      <c r="M20" s="27">
        <f>IF(L20="","",VLOOKUP(L20,TABLAS!$C$30:$D$33,2,0))</f>
        <v>3</v>
      </c>
      <c r="N20" s="27" t="s">
        <v>76</v>
      </c>
      <c r="O20" s="27">
        <f>+IF(N20="","",VLOOKUP(N20,TABLAS!$E$30:$F$33,2,0))</f>
        <v>3</v>
      </c>
      <c r="P20" s="27" t="s">
        <v>81</v>
      </c>
      <c r="Q20" s="27">
        <f>+IF(P20="","",VLOOKUP(P20,TABLAS!$G$30:$H$33,2,0))</f>
        <v>3</v>
      </c>
      <c r="R20" s="27" t="s">
        <v>87</v>
      </c>
      <c r="S20" s="27">
        <f>+IF(R20="","",VLOOKUP(R20,TABLAS!$I$30:$J$33,2,0))</f>
        <v>3</v>
      </c>
      <c r="T20" s="27">
        <f t="shared" si="0"/>
        <v>2.5</v>
      </c>
      <c r="U20" s="24">
        <f>+IF(T20&gt;=TABLAS!$A$39,F20-TABLAS!$C$39,F20)</f>
        <v>1</v>
      </c>
      <c r="V20" s="24" t="s">
        <v>52</v>
      </c>
      <c r="W20" s="24" t="str">
        <f>INDEX(TABLAS!$B$14:$F$18,MATCH(U20,TABLAS!$A$14:$A$18,0),MATCH(V20,TABLAS!$B$13:$F$13,0))</f>
        <v>M</v>
      </c>
      <c r="X20" s="92" t="str">
        <f>+VLOOKUP(W20,TABLAS!$A$22:$B$25,2,0)</f>
        <v>Asumir, mitigar el riesgo</v>
      </c>
      <c r="Y20" s="92" t="s">
        <v>103</v>
      </c>
      <c r="Z20" s="92" t="s">
        <v>391</v>
      </c>
      <c r="AA20" s="92" t="s">
        <v>392</v>
      </c>
      <c r="AB20" s="24" t="s">
        <v>36</v>
      </c>
      <c r="AC20" s="24"/>
      <c r="AD20" s="24" t="s">
        <v>36</v>
      </c>
      <c r="AE20" s="174">
        <v>1</v>
      </c>
      <c r="AF20" s="24" t="s">
        <v>36</v>
      </c>
      <c r="AG20" s="174">
        <v>1</v>
      </c>
    </row>
    <row r="21" spans="1:33" ht="147.75" customHeight="1" x14ac:dyDescent="0.3">
      <c r="A21" s="82">
        <v>4</v>
      </c>
      <c r="B21" s="26" t="s">
        <v>214</v>
      </c>
      <c r="C21" s="26" t="s">
        <v>213</v>
      </c>
      <c r="D21" s="26" t="s">
        <v>202</v>
      </c>
      <c r="E21" s="26" t="s">
        <v>385</v>
      </c>
      <c r="F21" s="24">
        <v>2</v>
      </c>
      <c r="G21" s="24" t="s">
        <v>51</v>
      </c>
      <c r="H21" s="24" t="str">
        <f>INDEX(TABLAS!$B$14:$F$18,MATCH(F21,TABLAS!$A$14:$A$18,0),MATCH(G21,TABLAS!$B$13:$F$13,0))</f>
        <v>B</v>
      </c>
      <c r="I21" s="26" t="s">
        <v>105</v>
      </c>
      <c r="J21" s="27" t="s">
        <v>69</v>
      </c>
      <c r="K21" s="27">
        <f>IF(J21="","",VLOOKUP(J21,TABLAS!$A$30:$B$32,2,0))</f>
        <v>1</v>
      </c>
      <c r="L21" s="27" t="s">
        <v>72</v>
      </c>
      <c r="M21" s="27">
        <f>IF(L21="","",VLOOKUP(L21,TABLAS!$C$30:$D$33,2,0))</f>
        <v>2</v>
      </c>
      <c r="N21" s="27" t="s">
        <v>79</v>
      </c>
      <c r="O21" s="27">
        <f>+IF(N21="","",VLOOKUP(N21,TABLAS!$E$30:$F$33,2,0))</f>
        <v>0</v>
      </c>
      <c r="P21" s="27" t="s">
        <v>83</v>
      </c>
      <c r="Q21" s="27">
        <f>+IF(P21="","",VLOOKUP(P21,TABLAS!$G$30:$H$33,2,0))</f>
        <v>1</v>
      </c>
      <c r="R21" s="27" t="s">
        <v>87</v>
      </c>
      <c r="S21" s="27">
        <f>+IF(R21="","",VLOOKUP(R21,TABLAS!$I$30:$J$33,2,0))</f>
        <v>3</v>
      </c>
      <c r="T21" s="27">
        <f t="shared" si="0"/>
        <v>1.25</v>
      </c>
      <c r="U21" s="24">
        <f>+IF(T21&gt;=TABLAS!$A$39,F21-TABLAS!$C$39,F21)</f>
        <v>2</v>
      </c>
      <c r="V21" s="24" t="s">
        <v>52</v>
      </c>
      <c r="W21" s="24" t="str">
        <f>INDEX(TABLAS!$B$14:$F$18,MATCH(U21,TABLAS!$A$14:$A$18,0),MATCH(V21,TABLAS!$B$13:$F$13,0))</f>
        <v>M</v>
      </c>
      <c r="X21" s="26" t="str">
        <f>+VLOOKUP(W21,TABLAS!$A$22:$B$25,2,0)</f>
        <v>Asumir, mitigar el riesgo</v>
      </c>
      <c r="Y21" s="26" t="s">
        <v>103</v>
      </c>
      <c r="Z21" s="26" t="s">
        <v>98</v>
      </c>
      <c r="AA21" s="26" t="s">
        <v>215</v>
      </c>
      <c r="AB21" s="24" t="s">
        <v>36</v>
      </c>
      <c r="AC21" s="24"/>
      <c r="AD21" s="24" t="s">
        <v>36</v>
      </c>
      <c r="AE21" s="24"/>
      <c r="AF21" s="24" t="s">
        <v>36</v>
      </c>
      <c r="AG21" s="24"/>
    </row>
    <row r="22" spans="1:33" ht="147" customHeight="1" x14ac:dyDescent="0.3">
      <c r="A22" s="50">
        <v>5</v>
      </c>
      <c r="B22" s="157" t="s">
        <v>581</v>
      </c>
      <c r="C22" s="26" t="s">
        <v>216</v>
      </c>
      <c r="D22" s="26" t="s">
        <v>202</v>
      </c>
      <c r="E22" s="26" t="s">
        <v>381</v>
      </c>
      <c r="F22" s="24">
        <v>2</v>
      </c>
      <c r="G22" s="24" t="s">
        <v>52</v>
      </c>
      <c r="H22" s="24" t="str">
        <f>INDEX(TABLAS!$B$14:$F$18,MATCH(F22,TABLAS!$A$14:$A$18,0),MATCH(G22,TABLAS!$B$13:$F$13,0))</f>
        <v>M</v>
      </c>
      <c r="I22" s="26" t="s">
        <v>568</v>
      </c>
      <c r="J22" s="27" t="s">
        <v>69</v>
      </c>
      <c r="K22" s="27">
        <f>IF(J22="","",VLOOKUP(J22,TABLAS!$A$30:$B$32,2,0))</f>
        <v>1</v>
      </c>
      <c r="L22" s="27" t="s">
        <v>65</v>
      </c>
      <c r="M22" s="27">
        <f>IF(L22="","",VLOOKUP(L22,TABLAS!$C$30:$D$33,2,0))</f>
        <v>3</v>
      </c>
      <c r="N22" s="27" t="s">
        <v>76</v>
      </c>
      <c r="O22" s="27">
        <f>+IF(N22="","",VLOOKUP(N22,TABLAS!$E$30:$F$33,2,0))</f>
        <v>3</v>
      </c>
      <c r="P22" s="27" t="s">
        <v>81</v>
      </c>
      <c r="Q22" s="27">
        <f>+IF(P22="","",VLOOKUP(P22,TABLAS!$G$30:$H$33,2,0))</f>
        <v>3</v>
      </c>
      <c r="R22" s="27" t="s">
        <v>88</v>
      </c>
      <c r="S22" s="27">
        <f>+IF(R22="","",VLOOKUP(R22,TABLAS!$I$30:$J$33,2,0))</f>
        <v>2</v>
      </c>
      <c r="T22" s="27">
        <f t="shared" ref="T22:T28" si="1">IFERROR(K22*25%+M22*10%+O22*25%+Q22*20%+S22*20%,0)</f>
        <v>2.3000000000000003</v>
      </c>
      <c r="U22" s="24">
        <f>+IF(T22&gt;=TABLAS!$A$39,F22-TABLAS!$C$39,F22)</f>
        <v>1</v>
      </c>
      <c r="V22" s="24" t="s">
        <v>52</v>
      </c>
      <c r="W22" s="24" t="str">
        <f>INDEX(TABLAS!$B$14:$F$18,MATCH(U22,TABLAS!$A$14:$A$18,0),MATCH(V22,TABLAS!$B$13:$F$13,0))</f>
        <v>M</v>
      </c>
      <c r="X22" s="26" t="str">
        <f>+VLOOKUP(W22,TABLAS!$A$22:$B$25,2,0)</f>
        <v>Asumir, mitigar el riesgo</v>
      </c>
      <c r="Y22" s="26" t="s">
        <v>17</v>
      </c>
      <c r="Z22" s="26" t="s">
        <v>107</v>
      </c>
      <c r="AA22" s="29" t="s">
        <v>569</v>
      </c>
      <c r="AB22" s="24" t="s">
        <v>36</v>
      </c>
      <c r="AC22" s="151"/>
      <c r="AD22" s="24" t="s">
        <v>36</v>
      </c>
      <c r="AE22" s="92">
        <v>0</v>
      </c>
      <c r="AF22" s="24" t="s">
        <v>36</v>
      </c>
      <c r="AG22" s="24">
        <v>0</v>
      </c>
    </row>
    <row r="23" spans="1:33" ht="119.25" customHeight="1" x14ac:dyDescent="0.3">
      <c r="A23" s="50">
        <v>6</v>
      </c>
      <c r="B23" s="157" t="s">
        <v>578</v>
      </c>
      <c r="C23" s="157" t="s">
        <v>580</v>
      </c>
      <c r="D23" s="26" t="s">
        <v>202</v>
      </c>
      <c r="E23" s="26" t="s">
        <v>385</v>
      </c>
      <c r="F23" s="24">
        <v>2</v>
      </c>
      <c r="G23" s="24" t="s">
        <v>52</v>
      </c>
      <c r="H23" s="24" t="str">
        <f>INDEX(TABLAS!$B$14:$F$18,MATCH(F23,TABLAS!$A$14:$A$18,0),MATCH(G23,TABLAS!$B$13:$F$13,0))</f>
        <v>M</v>
      </c>
      <c r="I23" s="157" t="s">
        <v>579</v>
      </c>
      <c r="J23" s="27" t="s">
        <v>106</v>
      </c>
      <c r="K23" s="27">
        <f>IF(J23="","",VLOOKUP(J23,TABLAS!$A$30:$B$32,2,0))</f>
        <v>2</v>
      </c>
      <c r="L23" s="27" t="s">
        <v>65</v>
      </c>
      <c r="M23" s="27">
        <f>IF(L23="","",VLOOKUP(L23,TABLAS!$C$30:$D$33,2,0))</f>
        <v>3</v>
      </c>
      <c r="N23" s="27" t="s">
        <v>76</v>
      </c>
      <c r="O23" s="27">
        <f>+IF(N23="","",VLOOKUP(N23,TABLAS!$E$30:$F$33,2,0))</f>
        <v>3</v>
      </c>
      <c r="P23" s="27" t="s">
        <v>81</v>
      </c>
      <c r="Q23" s="27">
        <f>+IF(P23="","",VLOOKUP(P23,TABLAS!$G$30:$H$33,2,0))</f>
        <v>3</v>
      </c>
      <c r="R23" s="27" t="s">
        <v>87</v>
      </c>
      <c r="S23" s="27">
        <f>+IF(R23="","",VLOOKUP(R23,TABLAS!$I$30:$J$33,2,0))</f>
        <v>3</v>
      </c>
      <c r="T23" s="27">
        <f t="shared" si="1"/>
        <v>2.7500000000000004</v>
      </c>
      <c r="U23" s="24">
        <f>+IF(T23&gt;=TABLAS!$A$39,F23-TABLAS!$C$39,F23)</f>
        <v>1</v>
      </c>
      <c r="V23" s="24" t="s">
        <v>51</v>
      </c>
      <c r="W23" s="24" t="str">
        <f>INDEX(TABLAS!$B$14:$F$18,MATCH(U23,TABLAS!$A$14:$A$18,0),MATCH(V23,TABLAS!$B$13:$F$13,0))</f>
        <v>B</v>
      </c>
      <c r="X23" s="26" t="str">
        <f>+VLOOKUP(W23,TABLAS!$A$22:$B$25,2,0)</f>
        <v>Asumir y monitoreo</v>
      </c>
      <c r="Y23" s="26" t="s">
        <v>103</v>
      </c>
      <c r="Z23" s="26" t="s">
        <v>219</v>
      </c>
      <c r="AA23" s="24" t="s">
        <v>132</v>
      </c>
      <c r="AB23" s="24" t="s">
        <v>36</v>
      </c>
      <c r="AC23" s="24"/>
      <c r="AD23" s="24" t="s">
        <v>36</v>
      </c>
      <c r="AE23" s="24"/>
      <c r="AF23" s="24" t="s">
        <v>36</v>
      </c>
      <c r="AG23" s="24"/>
    </row>
    <row r="24" spans="1:33" ht="119.25" customHeight="1" x14ac:dyDescent="0.3">
      <c r="A24" s="50">
        <v>7</v>
      </c>
      <c r="B24" s="26" t="s">
        <v>217</v>
      </c>
      <c r="C24" s="26" t="s">
        <v>218</v>
      </c>
      <c r="D24" s="26" t="s">
        <v>202</v>
      </c>
      <c r="E24" s="26" t="s">
        <v>385</v>
      </c>
      <c r="F24" s="24">
        <v>3</v>
      </c>
      <c r="G24" s="24" t="s">
        <v>53</v>
      </c>
      <c r="H24" s="24" t="str">
        <f>INDEX(TABLAS!$B$14:$F$18,MATCH(F24,TABLAS!$A$14:$A$18,0),MATCH(G24,TABLAS!$B$13:$F$13,0))</f>
        <v>E</v>
      </c>
      <c r="I24" s="26" t="s">
        <v>570</v>
      </c>
      <c r="J24" s="27" t="s">
        <v>69</v>
      </c>
      <c r="K24" s="27">
        <f>IF(J24="","",VLOOKUP(J24,TABLAS!$A$30:$B$32,2,0))</f>
        <v>1</v>
      </c>
      <c r="L24" s="27" t="s">
        <v>72</v>
      </c>
      <c r="M24" s="27">
        <f>IF(L24="","",VLOOKUP(L24,TABLAS!$C$30:$D$33,2,0))</f>
        <v>2</v>
      </c>
      <c r="N24" s="27" t="s">
        <v>76</v>
      </c>
      <c r="O24" s="27">
        <f>+IF(N24="","",VLOOKUP(N24,TABLAS!$E$30:$F$33,2,0))</f>
        <v>3</v>
      </c>
      <c r="P24" s="27" t="s">
        <v>81</v>
      </c>
      <c r="Q24" s="27">
        <f>+IF(P24="","",VLOOKUP(P24,TABLAS!$G$30:$H$33,2,0))</f>
        <v>3</v>
      </c>
      <c r="R24" s="27" t="s">
        <v>87</v>
      </c>
      <c r="S24" s="27">
        <f>+IF(R24="","",VLOOKUP(R24,TABLAS!$I$30:$J$33,2,0))</f>
        <v>3</v>
      </c>
      <c r="T24" s="27">
        <f t="shared" si="1"/>
        <v>2.4000000000000004</v>
      </c>
      <c r="U24" s="24">
        <f>+IF(T24&gt;=TABLAS!$A$39,F24-TABLAS!$C$39,F24)</f>
        <v>2</v>
      </c>
      <c r="V24" s="24" t="s">
        <v>51</v>
      </c>
      <c r="W24" s="24" t="str">
        <f>INDEX(TABLAS!$B$14:$F$18,MATCH(U24,TABLAS!$A$14:$A$18,0),MATCH(V24,TABLAS!$B$13:$F$13,0))</f>
        <v>B</v>
      </c>
      <c r="X24" s="26" t="str">
        <f>+VLOOKUP(W24,TABLAS!$A$22:$B$25,2,0)</f>
        <v>Asumir y monitoreo</v>
      </c>
      <c r="Y24" s="26" t="s">
        <v>103</v>
      </c>
      <c r="Z24" s="26" t="s">
        <v>219</v>
      </c>
      <c r="AA24" s="24" t="s">
        <v>117</v>
      </c>
      <c r="AB24" s="24" t="s">
        <v>36</v>
      </c>
      <c r="AC24" s="24"/>
      <c r="AD24" s="24" t="s">
        <v>36</v>
      </c>
      <c r="AE24" s="24"/>
      <c r="AF24" s="24" t="s">
        <v>36</v>
      </c>
      <c r="AG24" s="24"/>
    </row>
    <row r="25" spans="1:33" ht="111.75" customHeight="1" x14ac:dyDescent="0.3">
      <c r="A25" s="45">
        <v>8</v>
      </c>
      <c r="B25" s="26" t="s">
        <v>220</v>
      </c>
      <c r="C25" s="26" t="s">
        <v>221</v>
      </c>
      <c r="D25" s="26" t="s">
        <v>202</v>
      </c>
      <c r="E25" s="26" t="s">
        <v>385</v>
      </c>
      <c r="F25" s="24">
        <v>3</v>
      </c>
      <c r="G25" s="24" t="s">
        <v>52</v>
      </c>
      <c r="H25" s="24" t="str">
        <f>INDEX(TABLAS!$B$14:$F$18,MATCH(F25,TABLAS!$A$14:$A$18,0),MATCH(G25,TABLAS!$B$13:$F$13,0))</f>
        <v>A</v>
      </c>
      <c r="I25" s="157" t="s">
        <v>582</v>
      </c>
      <c r="J25" s="27" t="s">
        <v>106</v>
      </c>
      <c r="K25" s="27">
        <f>IF(J25="","",VLOOKUP(J25,TABLAS!$A$30:$B$32,2,0))</f>
        <v>2</v>
      </c>
      <c r="L25" s="27" t="s">
        <v>65</v>
      </c>
      <c r="M25" s="27">
        <f>IF(L25="","",VLOOKUP(L25,TABLAS!$C$30:$D$33,2,0))</f>
        <v>3</v>
      </c>
      <c r="N25" s="27" t="s">
        <v>76</v>
      </c>
      <c r="O25" s="27">
        <f>+IF(N25="","",VLOOKUP(N25,TABLAS!$E$30:$F$33,2,0))</f>
        <v>3</v>
      </c>
      <c r="P25" s="27" t="s">
        <v>81</v>
      </c>
      <c r="Q25" s="27">
        <f>+IF(P25="","",VLOOKUP(P25,TABLAS!$G$30:$H$33,2,0))</f>
        <v>3</v>
      </c>
      <c r="R25" s="27" t="s">
        <v>89</v>
      </c>
      <c r="S25" s="27">
        <f>+IF(R25="","",VLOOKUP(R25,TABLAS!$I$30:$J$33,2,0))</f>
        <v>0</v>
      </c>
      <c r="T25" s="27">
        <f t="shared" si="1"/>
        <v>2.1500000000000004</v>
      </c>
      <c r="U25" s="24">
        <f>+IF(T25&gt;=TABLAS!$A$39,F25-TABLAS!$C$39,F25)</f>
        <v>3</v>
      </c>
      <c r="V25" s="24" t="s">
        <v>51</v>
      </c>
      <c r="W25" s="24" t="str">
        <f>INDEX(TABLAS!$B$14:$F$18,MATCH(U25,TABLAS!$A$14:$A$18,0),MATCH(V25,TABLAS!$B$13:$F$13,0))</f>
        <v>M</v>
      </c>
      <c r="X25" s="26" t="str">
        <f>+VLOOKUP(W25,TABLAS!$A$22:$B$25,2,0)</f>
        <v>Asumir, mitigar el riesgo</v>
      </c>
      <c r="Y25" s="26" t="s">
        <v>103</v>
      </c>
      <c r="Z25" s="26" t="s">
        <v>97</v>
      </c>
      <c r="AA25" s="24" t="s">
        <v>103</v>
      </c>
      <c r="AB25" s="24" t="s">
        <v>36</v>
      </c>
      <c r="AC25" s="24"/>
      <c r="AD25" s="24" t="s">
        <v>36</v>
      </c>
      <c r="AE25" s="24"/>
      <c r="AF25" s="24" t="s">
        <v>36</v>
      </c>
      <c r="AG25" s="24"/>
    </row>
    <row r="26" spans="1:33" ht="93.6" x14ac:dyDescent="0.3">
      <c r="A26" s="45">
        <v>9</v>
      </c>
      <c r="B26" s="26" t="s">
        <v>222</v>
      </c>
      <c r="C26" s="26" t="s">
        <v>223</v>
      </c>
      <c r="D26" s="26" t="s">
        <v>375</v>
      </c>
      <c r="E26" s="26" t="s">
        <v>383</v>
      </c>
      <c r="F26" s="24">
        <v>3</v>
      </c>
      <c r="G26" s="24" t="s">
        <v>53</v>
      </c>
      <c r="H26" s="24" t="str">
        <f>INDEX(TABLAS!$B$14:$F$18,MATCH(F26,TABLAS!$A$14:$A$18,0),MATCH(G26,TABLAS!$B$13:$F$13,0))</f>
        <v>E</v>
      </c>
      <c r="I26" s="26" t="s">
        <v>109</v>
      </c>
      <c r="J26" s="27" t="s">
        <v>69</v>
      </c>
      <c r="K26" s="27">
        <f>IF(J26="","",VLOOKUP(J26,TABLAS!$A$30:$B$32,2,0))</f>
        <v>1</v>
      </c>
      <c r="L26" s="27" t="s">
        <v>72</v>
      </c>
      <c r="M26" s="27">
        <f>IF(L26="","",VLOOKUP(L26,TABLAS!$C$30:$D$33,2,0))</f>
        <v>2</v>
      </c>
      <c r="N26" s="27" t="s">
        <v>77</v>
      </c>
      <c r="O26" s="27">
        <f>+IF(N26="","",VLOOKUP(N26,TABLAS!$E$30:$F$33,2,0))</f>
        <v>2</v>
      </c>
      <c r="P26" s="27" t="s">
        <v>83</v>
      </c>
      <c r="Q26" s="27">
        <f>+IF(P26="","",VLOOKUP(P26,TABLAS!$G$30:$H$33,2,0))</f>
        <v>1</v>
      </c>
      <c r="R26" s="27" t="s">
        <v>89</v>
      </c>
      <c r="S26" s="27">
        <f>+IF(R26="","",VLOOKUP(R26,TABLAS!$I$30:$J$33,2,0))</f>
        <v>0</v>
      </c>
      <c r="T26" s="27">
        <f t="shared" si="1"/>
        <v>1.1499999999999999</v>
      </c>
      <c r="U26" s="24">
        <f>+IF(T26&gt;=TABLAS!$A$39,F26-TABLAS!$C$39,F26)</f>
        <v>3</v>
      </c>
      <c r="V26" s="24" t="s">
        <v>51</v>
      </c>
      <c r="W26" s="24" t="str">
        <f>INDEX(TABLAS!$B$14:$F$18,MATCH(U26,TABLAS!$A$14:$A$18,0),MATCH(V26,TABLAS!$B$13:$F$13,0))</f>
        <v>M</v>
      </c>
      <c r="X26" s="26" t="str">
        <f>+VLOOKUP(W26,TABLAS!$A$22:$B$25,2,0)</f>
        <v>Asumir, mitigar el riesgo</v>
      </c>
      <c r="Y26" s="26" t="s">
        <v>103</v>
      </c>
      <c r="Z26" s="26" t="s">
        <v>97</v>
      </c>
      <c r="AA26" s="26" t="s">
        <v>103</v>
      </c>
      <c r="AB26" s="24" t="s">
        <v>36</v>
      </c>
      <c r="AC26" s="24"/>
      <c r="AD26" s="24" t="s">
        <v>36</v>
      </c>
      <c r="AE26" s="24"/>
      <c r="AF26" s="24" t="s">
        <v>36</v>
      </c>
      <c r="AG26" s="24"/>
    </row>
    <row r="27" spans="1:33" ht="126" customHeight="1" x14ac:dyDescent="0.3">
      <c r="A27" s="45">
        <v>10</v>
      </c>
      <c r="B27" s="26" t="s">
        <v>583</v>
      </c>
      <c r="C27" s="26" t="s">
        <v>224</v>
      </c>
      <c r="D27" s="26" t="s">
        <v>203</v>
      </c>
      <c r="E27" s="26" t="s">
        <v>385</v>
      </c>
      <c r="F27" s="24">
        <v>3</v>
      </c>
      <c r="G27" s="24" t="s">
        <v>53</v>
      </c>
      <c r="H27" s="24" t="str">
        <f>INDEX(TABLAS!$B$14:$F$18,MATCH(F27,TABLAS!$A$14:$A$18,0),MATCH(G27,TABLAS!$B$13:$F$13,0))</f>
        <v>E</v>
      </c>
      <c r="I27" s="26" t="s">
        <v>393</v>
      </c>
      <c r="J27" s="27" t="s">
        <v>69</v>
      </c>
      <c r="K27" s="27">
        <f>IF(J27="","",VLOOKUP(J27,TABLAS!$A$30:$B$32,2,0))</f>
        <v>1</v>
      </c>
      <c r="L27" s="27" t="s">
        <v>72</v>
      </c>
      <c r="M27" s="27">
        <f>IF(L27="","",VLOOKUP(L27,TABLAS!$C$30:$D$33,2,0))</f>
        <v>2</v>
      </c>
      <c r="N27" s="27" t="s">
        <v>76</v>
      </c>
      <c r="O27" s="27">
        <f>+IF(N27="","",VLOOKUP(N27,TABLAS!$E$30:$F$33,2,0))</f>
        <v>3</v>
      </c>
      <c r="P27" s="27" t="s">
        <v>81</v>
      </c>
      <c r="Q27" s="27">
        <f>+IF(P27="","",VLOOKUP(P27,TABLAS!$G$30:$H$33,2,0))</f>
        <v>3</v>
      </c>
      <c r="R27" s="27" t="s">
        <v>87</v>
      </c>
      <c r="S27" s="27">
        <f>+IF(R27="","",VLOOKUP(R27,TABLAS!$I$30:$J$33,2,0))</f>
        <v>3</v>
      </c>
      <c r="T27" s="27">
        <f t="shared" si="1"/>
        <v>2.4000000000000004</v>
      </c>
      <c r="U27" s="24">
        <f>+IF(T27&gt;=TABLAS!$A$39,F27-TABLAS!$C$39,F27)</f>
        <v>2</v>
      </c>
      <c r="V27" s="24" t="s">
        <v>52</v>
      </c>
      <c r="W27" s="24" t="str">
        <f>INDEX(TABLAS!$B$14:$F$18,MATCH(U27,TABLAS!$A$14:$A$18,0),MATCH(V27,TABLAS!$B$13:$F$13,0))</f>
        <v>M</v>
      </c>
      <c r="X27" s="26" t="str">
        <f>+VLOOKUP(W27,TABLAS!$A$22:$B$25,2,0)</f>
        <v>Asumir, mitigar el riesgo</v>
      </c>
      <c r="Y27" s="26" t="s">
        <v>103</v>
      </c>
      <c r="Z27" s="26" t="s">
        <v>225</v>
      </c>
      <c r="AA27" s="29" t="s">
        <v>132</v>
      </c>
      <c r="AB27" s="24" t="s">
        <v>36</v>
      </c>
      <c r="AC27" s="24"/>
      <c r="AD27" s="24" t="s">
        <v>36</v>
      </c>
      <c r="AE27" s="24"/>
      <c r="AF27" s="24" t="s">
        <v>36</v>
      </c>
      <c r="AG27" s="24"/>
    </row>
    <row r="28" spans="1:33" s="137" customFormat="1" ht="126" customHeight="1" x14ac:dyDescent="0.3">
      <c r="A28" s="45">
        <v>11</v>
      </c>
      <c r="B28" s="92" t="s">
        <v>481</v>
      </c>
      <c r="C28" s="92" t="s">
        <v>482</v>
      </c>
      <c r="D28" s="92" t="s">
        <v>204</v>
      </c>
      <c r="E28" s="92" t="s">
        <v>385</v>
      </c>
      <c r="F28" s="24">
        <v>3</v>
      </c>
      <c r="G28" s="24" t="s">
        <v>52</v>
      </c>
      <c r="H28" s="24" t="str">
        <f>INDEX(TABLAS!$B$14:$F$18,MATCH(F28,TABLAS!$A$14:$A$18,0),MATCH(G28,TABLAS!$B$13:$F$13,0))</f>
        <v>A</v>
      </c>
      <c r="I28" s="92" t="s">
        <v>503</v>
      </c>
      <c r="J28" s="27" t="s">
        <v>68</v>
      </c>
      <c r="K28" s="27">
        <f>IF(J28="","",VLOOKUP(J28,TABLAS!$A$30:$B$32,2,0))</f>
        <v>3</v>
      </c>
      <c r="L28" s="27" t="s">
        <v>65</v>
      </c>
      <c r="M28" s="27">
        <f>IF(L28="","",VLOOKUP(L28,TABLAS!$C$30:$D$33,2,0))</f>
        <v>3</v>
      </c>
      <c r="N28" s="27" t="s">
        <v>76</v>
      </c>
      <c r="O28" s="27">
        <f>+IF(N28="","",VLOOKUP(N28,TABLAS!$E$30:$F$33,2,0))</f>
        <v>3</v>
      </c>
      <c r="P28" s="27" t="s">
        <v>81</v>
      </c>
      <c r="Q28" s="27">
        <f>+IF(P28="","",VLOOKUP(P28,TABLAS!$G$30:$H$33,2,0))</f>
        <v>3</v>
      </c>
      <c r="R28" s="27" t="s">
        <v>86</v>
      </c>
      <c r="S28" s="27">
        <f>+IF(R28="","",VLOOKUP(R28,TABLAS!$I$30:$J$33,2,0))</f>
        <v>3</v>
      </c>
      <c r="T28" s="27">
        <f t="shared" si="1"/>
        <v>3.0000000000000004</v>
      </c>
      <c r="U28" s="24">
        <f>+IF(T28&gt;=TABLAS!$A$39,F28-TABLAS!$C$39,F28)</f>
        <v>2</v>
      </c>
      <c r="V28" s="24" t="s">
        <v>52</v>
      </c>
      <c r="W28" s="24" t="str">
        <f>INDEX(TABLAS!$B$14:$F$18,MATCH(U28,TABLAS!$A$14:$A$18,0),MATCH(V28,TABLAS!$B$13:$F$13,0))</f>
        <v>M</v>
      </c>
      <c r="X28" s="92" t="str">
        <f>+VLOOKUP(W28,TABLAS!$A$22:$B$25,2,0)</f>
        <v>Asumir, mitigar el riesgo</v>
      </c>
      <c r="Y28" s="92" t="s">
        <v>571</v>
      </c>
      <c r="Z28" s="92" t="s">
        <v>225</v>
      </c>
      <c r="AA28" s="29">
        <v>43709</v>
      </c>
      <c r="AB28" s="140"/>
      <c r="AC28" s="24"/>
      <c r="AD28" s="140"/>
      <c r="AE28" s="24"/>
      <c r="AF28" s="24" t="s">
        <v>36</v>
      </c>
      <c r="AG28" s="24"/>
    </row>
    <row r="30" spans="1:33" ht="23.4" x14ac:dyDescent="0.3">
      <c r="A30" s="201" t="s">
        <v>587</v>
      </c>
      <c r="B30" s="201"/>
      <c r="C30" s="201"/>
      <c r="D30" s="201"/>
      <c r="E30" s="206" t="s">
        <v>592</v>
      </c>
      <c r="F30" s="206"/>
      <c r="G30" s="206"/>
      <c r="H30" s="206"/>
      <c r="I30" s="206"/>
    </row>
    <row r="31" spans="1:33" ht="6.75" customHeight="1" x14ac:dyDescent="0.3">
      <c r="E31" s="145"/>
      <c r="F31" s="145"/>
      <c r="G31" s="145"/>
      <c r="H31" s="145"/>
      <c r="I31" s="145"/>
    </row>
    <row r="32" spans="1:33" ht="23.4" x14ac:dyDescent="0.3">
      <c r="A32" s="201" t="s">
        <v>588</v>
      </c>
      <c r="B32" s="201"/>
      <c r="C32" s="201"/>
      <c r="D32" s="201"/>
      <c r="E32" s="206" t="s">
        <v>589</v>
      </c>
      <c r="F32" s="206"/>
      <c r="G32" s="206"/>
      <c r="H32" s="206"/>
      <c r="I32" s="206"/>
    </row>
    <row r="103" ht="20.25" customHeight="1" x14ac:dyDescent="0.3"/>
    <row r="108" ht="20.25" customHeight="1" x14ac:dyDescent="0.3"/>
    <row r="110" ht="20.25" customHeight="1" x14ac:dyDescent="0.3"/>
    <row r="115" ht="32.25" customHeight="1" x14ac:dyDescent="0.3"/>
  </sheetData>
  <mergeCells count="25">
    <mergeCell ref="A10:D10"/>
    <mergeCell ref="E10:G10"/>
    <mergeCell ref="A30:D30"/>
    <mergeCell ref="E30:I30"/>
    <mergeCell ref="A32:D32"/>
    <mergeCell ref="E32:I32"/>
    <mergeCell ref="A12:A14"/>
    <mergeCell ref="B12:E13"/>
    <mergeCell ref="A19:A20"/>
    <mergeCell ref="B19:B20"/>
    <mergeCell ref="B17:B18"/>
    <mergeCell ref="A17:A18"/>
    <mergeCell ref="AB12:AG13"/>
    <mergeCell ref="B15:B16"/>
    <mergeCell ref="A15:A16"/>
    <mergeCell ref="Z13:Z14"/>
    <mergeCell ref="AA13:AA14"/>
    <mergeCell ref="Y13:Y14"/>
    <mergeCell ref="F12:H12"/>
    <mergeCell ref="F13:G13"/>
    <mergeCell ref="X13:X14"/>
    <mergeCell ref="I12:T13"/>
    <mergeCell ref="U12:V13"/>
    <mergeCell ref="W12:W13"/>
    <mergeCell ref="X12:AA12"/>
  </mergeCells>
  <conditionalFormatting sqref="H15:H19 W15:W19 W21:W28 H21:H28">
    <cfRule type="expression" dxfId="75" priority="9" stopIfTrue="1">
      <formula>H15="E"</formula>
    </cfRule>
    <cfRule type="expression" dxfId="74" priority="10" stopIfTrue="1">
      <formula>H15="M"</formula>
    </cfRule>
    <cfRule type="expression" dxfId="73" priority="11" stopIfTrue="1">
      <formula>H15="B"</formula>
    </cfRule>
    <cfRule type="expression" dxfId="72" priority="12" stopIfTrue="1">
      <formula>H15="A"</formula>
    </cfRule>
  </conditionalFormatting>
  <conditionalFormatting sqref="W20 H20">
    <cfRule type="expression" dxfId="71" priority="1" stopIfTrue="1">
      <formula>H20="E"</formula>
    </cfRule>
    <cfRule type="expression" dxfId="70" priority="2" stopIfTrue="1">
      <formula>H20="M"</formula>
    </cfRule>
    <cfRule type="expression" dxfId="69" priority="3" stopIfTrue="1">
      <formula>H20="B"</formula>
    </cfRule>
    <cfRule type="expression" dxfId="68" priority="4" stopIfTrue="1">
      <formula>H20="A"</formula>
    </cfRule>
  </conditionalFormatting>
  <pageMargins left="0.70866141732283472" right="0.70866141732283472" top="0.74803149606299213" bottom="0.74803149606299213" header="0.31496062992125984" footer="0.31496062992125984"/>
  <pageSetup paperSize="9" scale="27"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900-000000000000}">
          <x14:formula1>
            <xm:f>TABLAS!$A$14:$A$18</xm:f>
          </x14:formula1>
          <xm:sqref>F15:F28</xm:sqref>
        </x14:dataValidation>
        <x14:dataValidation type="list" allowBlank="1" showInputMessage="1" showErrorMessage="1" xr:uid="{00000000-0002-0000-0900-000001000000}">
          <x14:formula1>
            <xm:f>TABLAS!$B$13:$F$13</xm:f>
          </x14:formula1>
          <xm:sqref>G15:G28 V15:V28</xm:sqref>
        </x14:dataValidation>
        <x14:dataValidation type="list" allowBlank="1" showInputMessage="1" showErrorMessage="1" xr:uid="{00000000-0002-0000-0900-000002000000}">
          <x14:formula1>
            <xm:f>TABLAS!$I$30:$I$33</xm:f>
          </x14:formula1>
          <xm:sqref>R15:R28</xm:sqref>
        </x14:dataValidation>
        <x14:dataValidation type="list" allowBlank="1" showInputMessage="1" showErrorMessage="1" xr:uid="{00000000-0002-0000-0900-000003000000}">
          <x14:formula1>
            <xm:f>TABLAS!$G$30:$G$33</xm:f>
          </x14:formula1>
          <xm:sqref>P15:P28</xm:sqref>
        </x14:dataValidation>
        <x14:dataValidation type="list" allowBlank="1" showInputMessage="1" showErrorMessage="1" xr:uid="{00000000-0002-0000-0900-000004000000}">
          <x14:formula1>
            <xm:f>TABLAS!$E$30:$E$33</xm:f>
          </x14:formula1>
          <xm:sqref>N15:N28</xm:sqref>
        </x14:dataValidation>
        <x14:dataValidation type="list" allowBlank="1" showInputMessage="1" showErrorMessage="1" xr:uid="{00000000-0002-0000-0900-000005000000}">
          <x14:formula1>
            <xm:f>TABLAS!$C$30:$C$33</xm:f>
          </x14:formula1>
          <xm:sqref>L15:L28</xm:sqref>
        </x14:dataValidation>
        <x14:dataValidation type="list" allowBlank="1" showInputMessage="1" showErrorMessage="1" xr:uid="{00000000-0002-0000-0900-000006000000}">
          <x14:formula1>
            <xm:f>TABLAS!$A$30:$A$32</xm:f>
          </x14:formula1>
          <xm:sqref>J15:J28</xm:sqref>
        </x14:dataValidation>
        <x14:dataValidation type="list" allowBlank="1" showInputMessage="1" showErrorMessage="1" xr:uid="{00000000-0002-0000-0900-000007000000}">
          <x14:formula1>
            <xm:f>TABLAS!$B$44:$B$52</xm:f>
          </x14:formula1>
          <xm:sqref>E15:E28</xm:sqref>
        </x14:dataValidation>
        <x14:dataValidation type="list" allowBlank="1" showInputMessage="1" showErrorMessage="1" xr:uid="{00000000-0002-0000-0900-000008000000}">
          <x14:formula1>
            <xm:f>TABLAS!$A$44:$A$52</xm:f>
          </x14:formula1>
          <xm:sqref>D15:D28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0:S30"/>
  <sheetViews>
    <sheetView view="pageBreakPreview" topLeftCell="C6" zoomScale="60" zoomScaleNormal="90" workbookViewId="0">
      <selection activeCell="N13" sqref="N13"/>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344</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201.6" x14ac:dyDescent="0.3">
      <c r="A13" s="153" t="s">
        <v>556</v>
      </c>
      <c r="B13" s="126" t="s">
        <v>546</v>
      </c>
      <c r="C13" s="126" t="s">
        <v>504</v>
      </c>
      <c r="D13" s="126" t="s">
        <v>472</v>
      </c>
      <c r="E13" s="139">
        <v>43709</v>
      </c>
      <c r="F13" s="139">
        <v>43800</v>
      </c>
      <c r="G13" s="126" t="s">
        <v>577</v>
      </c>
      <c r="H13" s="126"/>
      <c r="I13" s="126"/>
    </row>
    <row r="14" spans="1:9" s="89" customFormat="1" ht="72" x14ac:dyDescent="0.3">
      <c r="A14" s="154" t="s">
        <v>450</v>
      </c>
      <c r="B14" s="126" t="s">
        <v>17</v>
      </c>
      <c r="C14" s="126" t="s">
        <v>471</v>
      </c>
      <c r="D14" s="126" t="s">
        <v>472</v>
      </c>
      <c r="E14" s="139">
        <v>43678</v>
      </c>
      <c r="F14" s="139">
        <v>43617</v>
      </c>
      <c r="G14" s="126" t="s">
        <v>478</v>
      </c>
      <c r="H14" s="152">
        <v>43678</v>
      </c>
      <c r="I14" s="126" t="s">
        <v>572</v>
      </c>
    </row>
    <row r="15" spans="1:9" s="89" customFormat="1" ht="72" x14ac:dyDescent="0.3">
      <c r="A15" s="154" t="s">
        <v>574</v>
      </c>
      <c r="B15" s="126" t="s">
        <v>575</v>
      </c>
      <c r="C15" s="126" t="s">
        <v>471</v>
      </c>
      <c r="D15" s="126" t="s">
        <v>472</v>
      </c>
      <c r="E15" s="139">
        <v>43770</v>
      </c>
      <c r="F15" s="139">
        <v>43800</v>
      </c>
      <c r="G15" s="126" t="s">
        <v>586</v>
      </c>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26"/>
      <c r="G17" s="126"/>
      <c r="H17" s="126"/>
      <c r="I17" s="126"/>
    </row>
    <row r="18" spans="1:9" s="89" customFormat="1" ht="14.4" x14ac:dyDescent="0.3">
      <c r="A18" s="126"/>
      <c r="B18" s="126"/>
      <c r="C18" s="126"/>
      <c r="D18" s="126"/>
      <c r="E18" s="126"/>
      <c r="F18" s="126"/>
      <c r="G18" s="126"/>
      <c r="H18" s="126"/>
      <c r="I18" s="126"/>
    </row>
    <row r="19" spans="1:9" s="89" customFormat="1" ht="14.4" x14ac:dyDescent="0.3">
      <c r="A19" s="90"/>
      <c r="B19" s="90"/>
      <c r="C19" s="90"/>
      <c r="D19" s="90"/>
      <c r="E19" s="90"/>
      <c r="F19" s="90"/>
      <c r="G19" s="90"/>
      <c r="H19" s="90"/>
      <c r="I19" s="90"/>
    </row>
    <row r="20" spans="1:9" s="89" customFormat="1" ht="14.4" x14ac:dyDescent="0.3">
      <c r="A20" s="90"/>
      <c r="B20" s="90"/>
      <c r="C20" s="90"/>
      <c r="D20" s="90"/>
      <c r="E20" s="90"/>
      <c r="F20" s="90"/>
      <c r="G20" s="90"/>
      <c r="H20" s="90"/>
      <c r="I20" s="90"/>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6" spans="1:9" s="89" customFormat="1" ht="14.4" x14ac:dyDescent="0.3">
      <c r="A26" s="90"/>
      <c r="B26" s="90"/>
      <c r="C26" s="90"/>
      <c r="D26" s="90"/>
      <c r="E26" s="90"/>
      <c r="F26" s="90"/>
      <c r="G26" s="90"/>
      <c r="H26" s="90"/>
      <c r="I26" s="90"/>
    </row>
    <row r="28" spans="1:9" ht="23.4" x14ac:dyDescent="0.3">
      <c r="A28" s="201" t="s">
        <v>590</v>
      </c>
      <c r="B28" s="201"/>
      <c r="C28" s="201"/>
      <c r="D28" s="201"/>
      <c r="E28" s="206" t="s">
        <v>592</v>
      </c>
      <c r="F28" s="206"/>
      <c r="G28" s="206"/>
      <c r="H28" s="206"/>
      <c r="I28" s="206"/>
    </row>
    <row r="29" spans="1:9" ht="6.75" customHeight="1" x14ac:dyDescent="0.3"/>
    <row r="30" spans="1:9" ht="23.4" x14ac:dyDescent="0.3">
      <c r="A30" s="201" t="s">
        <v>591</v>
      </c>
      <c r="B30" s="201"/>
      <c r="C30" s="201"/>
      <c r="D30" s="201"/>
      <c r="E30" s="206" t="s">
        <v>589</v>
      </c>
      <c r="F30" s="206"/>
      <c r="G30" s="206"/>
      <c r="H30" s="206"/>
      <c r="I30" s="206"/>
    </row>
  </sheetData>
  <sheetProtection algorithmName="SHA-512" hashValue="MTjRygXfJoThM2t+mQZ2ge8iF9EQ3ZcfgIJ00uFiuWC4aVuMPToAlcFRUB7Q7rZ4fwXoYvj2BU7Wgkn1AfgFBg==" saltValue="orwEtBooWFl99Chj2pYLZA==" spinCount="100000" sheet="1" objects="1" scenarios="1"/>
  <mergeCells count="6">
    <mergeCell ref="A10:D10"/>
    <mergeCell ref="E10:G10"/>
    <mergeCell ref="A28:D28"/>
    <mergeCell ref="E28:I28"/>
    <mergeCell ref="A30:D30"/>
    <mergeCell ref="E30:I30"/>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0:AG20"/>
  <sheetViews>
    <sheetView view="pageBreakPreview" topLeftCell="Z16" zoomScale="60" zoomScaleNormal="90" workbookViewId="0">
      <selection activeCell="AB26" sqref="AB26"/>
    </sheetView>
  </sheetViews>
  <sheetFormatPr baseColWidth="10" defaultColWidth="11.44140625" defaultRowHeight="15.6" x14ac:dyDescent="0.3"/>
  <cols>
    <col min="1" max="1" width="11.44140625" style="25"/>
    <col min="2" max="5" width="19.6640625" style="25" customWidth="1"/>
    <col min="6" max="6" width="15.5546875" style="25" customWidth="1"/>
    <col min="7" max="7" width="17.44140625" style="25" customWidth="1"/>
    <col min="8" max="8" width="14.88671875" style="25" customWidth="1"/>
    <col min="9" max="9" width="33.5546875" style="25" customWidth="1"/>
    <col min="10" max="10" width="17.44140625" style="25" customWidth="1"/>
    <col min="11" max="11" width="23.6640625" style="25" hidden="1" customWidth="1"/>
    <col min="12" max="12" width="17.44140625" style="25" customWidth="1"/>
    <col min="13" max="13" width="23.6640625" style="25" hidden="1" customWidth="1"/>
    <col min="14" max="14" width="21.44140625" style="25" customWidth="1"/>
    <col min="15" max="15" width="23.6640625" style="25" hidden="1" customWidth="1"/>
    <col min="16" max="16" width="16.44140625" style="25" bestFit="1" customWidth="1"/>
    <col min="17" max="17" width="23.6640625" style="25" hidden="1" customWidth="1"/>
    <col min="18" max="18" width="15.5546875" style="25" bestFit="1" customWidth="1"/>
    <col min="19" max="19" width="23.6640625" style="25" hidden="1" customWidth="1"/>
    <col min="20" max="20" width="14.88671875" style="25" bestFit="1" customWidth="1"/>
    <col min="21" max="21" width="17" style="25" customWidth="1"/>
    <col min="22" max="22" width="15.88671875" style="25" customWidth="1"/>
    <col min="23" max="23" width="16.88671875" style="25" customWidth="1"/>
    <col min="24" max="24" width="19.5546875" style="25" customWidth="1"/>
    <col min="25" max="25" width="17.33203125" style="25" customWidth="1"/>
    <col min="26" max="26" width="18.6640625" style="25" bestFit="1" customWidth="1"/>
    <col min="27" max="27" width="21.44140625" style="25" customWidth="1"/>
    <col min="28" max="33" width="11.44140625" style="25" customWidth="1"/>
    <col min="34" max="16384" width="11.44140625" style="25"/>
  </cols>
  <sheetData>
    <row r="10" spans="1:33" ht="23.4" x14ac:dyDescent="0.3">
      <c r="A10" s="201" t="s">
        <v>343</v>
      </c>
      <c r="B10" s="201"/>
      <c r="C10" s="201"/>
      <c r="D10" s="201"/>
      <c r="E10" s="202" t="s">
        <v>349</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132" customHeight="1" x14ac:dyDescent="0.3">
      <c r="A15" s="44" t="s">
        <v>165</v>
      </c>
      <c r="B15" s="34" t="s">
        <v>333</v>
      </c>
      <c r="C15" s="34" t="s">
        <v>334</v>
      </c>
      <c r="D15" s="26" t="s">
        <v>203</v>
      </c>
      <c r="E15" s="26" t="s">
        <v>385</v>
      </c>
      <c r="F15" s="24">
        <v>4</v>
      </c>
      <c r="G15" s="24" t="s">
        <v>52</v>
      </c>
      <c r="H15" s="24" t="str">
        <f>INDEX(TABLAS!$B$14:$F$18,MATCH(F15,TABLAS!$A$14:$A$18,0),MATCH(G15,TABLAS!$B$13:$F$13,0))</f>
        <v>A</v>
      </c>
      <c r="I15" s="26" t="s">
        <v>335</v>
      </c>
      <c r="J15" s="27" t="s">
        <v>69</v>
      </c>
      <c r="K15" s="27">
        <f>IF(J15="","",VLOOKUP(J15,TABLAS!$A$30:$B$32,2,0))</f>
        <v>1</v>
      </c>
      <c r="L15" s="27" t="s">
        <v>74</v>
      </c>
      <c r="M15" s="27">
        <f>IF(L15="","",VLOOKUP(L15,TABLAS!$C$30:$D$33,2,0))</f>
        <v>1</v>
      </c>
      <c r="N15" s="27" t="s">
        <v>79</v>
      </c>
      <c r="O15" s="27">
        <f>+IF(N15="","",VLOOKUP(N15,TABLAS!$E$30:$F$33,2,0))</f>
        <v>0</v>
      </c>
      <c r="P15" s="27" t="s">
        <v>84</v>
      </c>
      <c r="Q15" s="27">
        <f>+IF(P15="","",VLOOKUP(P15,TABLAS!$G$30:$H$33,2,0))</f>
        <v>0</v>
      </c>
      <c r="R15" s="27" t="s">
        <v>88</v>
      </c>
      <c r="S15" s="27">
        <f>+IF(R15="","",VLOOKUP(R15,TABLAS!$I$30:$J$33,2,0))</f>
        <v>2</v>
      </c>
      <c r="T15" s="27">
        <f>IFERROR(K15*25%+M15*10%+O15*25%+Q15*20%+S15*20%,0)</f>
        <v>0.75</v>
      </c>
      <c r="U15" s="26">
        <f>+IF(T15&gt;=TABLAS!$A$39,F15-TABLAS!$C$39,F15)</f>
        <v>4</v>
      </c>
      <c r="V15" s="24" t="s">
        <v>51</v>
      </c>
      <c r="W15" s="24" t="str">
        <f>INDEX(TABLAS!$B$14:$F$18,MATCH(U15,TABLAS!$A$14:$A$18,0),MATCH(V15,TABLAS!$B$13:$F$13,0))</f>
        <v>A</v>
      </c>
      <c r="X15" s="26" t="str">
        <f>+VLOOKUP(W15,TABLAS!$A$22:$B$25,2,0)</f>
        <v>Plan de Acción para mitigar, evitar, compartir o transferir el riesgo.</v>
      </c>
      <c r="Y15" s="26" t="s">
        <v>336</v>
      </c>
      <c r="Z15" s="26" t="s">
        <v>337</v>
      </c>
      <c r="AA15" s="26">
        <v>2020</v>
      </c>
      <c r="AB15" s="24" t="s">
        <v>36</v>
      </c>
      <c r="AC15" s="24"/>
      <c r="AD15" s="24" t="s">
        <v>36</v>
      </c>
      <c r="AE15" s="92" t="s">
        <v>659</v>
      </c>
      <c r="AF15" s="24" t="s">
        <v>36</v>
      </c>
      <c r="AG15" s="24"/>
    </row>
    <row r="16" spans="1:33" ht="162" customHeight="1" x14ac:dyDescent="0.3">
      <c r="A16" s="44" t="s">
        <v>166</v>
      </c>
      <c r="B16" s="34" t="s">
        <v>332</v>
      </c>
      <c r="C16" s="34" t="s">
        <v>331</v>
      </c>
      <c r="D16" s="26" t="s">
        <v>203</v>
      </c>
      <c r="E16" s="26" t="s">
        <v>385</v>
      </c>
      <c r="F16" s="24">
        <v>2</v>
      </c>
      <c r="G16" s="24" t="s">
        <v>52</v>
      </c>
      <c r="H16" s="24" t="str">
        <f>INDEX(TABLAS!$B$14:$F$18,MATCH(F16,TABLAS!$A$14:$A$18,0),MATCH(G16,TABLAS!$B$13:$F$13,0))</f>
        <v>M</v>
      </c>
      <c r="I16" s="26" t="s">
        <v>338</v>
      </c>
      <c r="J16" s="27" t="s">
        <v>69</v>
      </c>
      <c r="K16" s="27">
        <f>IF(J16="","",VLOOKUP(J16,TABLAS!$A$30:$B$32,2,0))</f>
        <v>1</v>
      </c>
      <c r="L16" s="27" t="s">
        <v>65</v>
      </c>
      <c r="M16" s="27">
        <f>IF(L16="","",VLOOKUP(L16,TABLAS!$C$30:$D$33,2,0))</f>
        <v>3</v>
      </c>
      <c r="N16" s="27" t="s">
        <v>76</v>
      </c>
      <c r="O16" s="27">
        <f>+IF(N16="","",VLOOKUP(N16,TABLAS!$E$30:$F$33,2,0))</f>
        <v>3</v>
      </c>
      <c r="P16" s="27" t="s">
        <v>83</v>
      </c>
      <c r="Q16" s="27">
        <f>+IF(P16="","",VLOOKUP(P16,TABLAS!$G$30:$H$33,2,0))</f>
        <v>1</v>
      </c>
      <c r="R16" s="27" t="s">
        <v>88</v>
      </c>
      <c r="S16" s="27">
        <f>+IF(R16="","",VLOOKUP(R16,TABLAS!$I$30:$J$33,2,0))</f>
        <v>2</v>
      </c>
      <c r="T16" s="27">
        <f>IFERROR(K16*25%+M16*10%+O16*25%+Q16*20%+S16*20%,0)</f>
        <v>1.9</v>
      </c>
      <c r="U16" s="26">
        <f>+IF(T16&gt;=TABLAS!$A$39,F16-TABLAS!$C$39,F16)</f>
        <v>2</v>
      </c>
      <c r="V16" s="24" t="s">
        <v>51</v>
      </c>
      <c r="W16" s="24" t="str">
        <f>INDEX(TABLAS!$B$14:$F$18,MATCH(U16,TABLAS!$A$14:$A$18,0),MATCH(V16,TABLAS!$B$13:$F$13,0))</f>
        <v>B</v>
      </c>
      <c r="X16" s="26" t="str">
        <f>+VLOOKUP(W16,TABLAS!$A$22:$B$25,2,0)</f>
        <v>Asumir y monitoreo</v>
      </c>
      <c r="Y16" s="26"/>
      <c r="Z16" s="26" t="s">
        <v>337</v>
      </c>
      <c r="AA16" s="26" t="s">
        <v>339</v>
      </c>
      <c r="AB16" s="24" t="s">
        <v>36</v>
      </c>
      <c r="AC16" s="24"/>
      <c r="AD16" s="24" t="s">
        <v>36</v>
      </c>
      <c r="AE16" s="24">
        <v>0</v>
      </c>
      <c r="AF16" s="24" t="s">
        <v>36</v>
      </c>
      <c r="AG16" s="24">
        <v>0</v>
      </c>
    </row>
    <row r="18" spans="1:9" ht="23.4" x14ac:dyDescent="0.3">
      <c r="A18" s="201" t="s">
        <v>587</v>
      </c>
      <c r="B18" s="201"/>
      <c r="C18" s="201"/>
      <c r="D18" s="201"/>
      <c r="E18" s="206" t="s">
        <v>337</v>
      </c>
      <c r="F18" s="206"/>
      <c r="G18" s="206"/>
      <c r="H18" s="206"/>
      <c r="I18" s="206"/>
    </row>
    <row r="19" spans="1:9" ht="6.75" customHeight="1" x14ac:dyDescent="0.3">
      <c r="E19" s="145"/>
      <c r="F19" s="145"/>
      <c r="G19" s="145"/>
      <c r="H19" s="145"/>
      <c r="I19" s="145"/>
    </row>
    <row r="20" spans="1:9" ht="23.4" x14ac:dyDescent="0.3">
      <c r="A20" s="201" t="s">
        <v>588</v>
      </c>
      <c r="B20" s="201"/>
      <c r="C20" s="201"/>
      <c r="D20" s="201"/>
      <c r="E20" s="206" t="s">
        <v>589</v>
      </c>
      <c r="F20" s="206"/>
      <c r="G20" s="206"/>
      <c r="H20" s="206"/>
      <c r="I20" s="206"/>
    </row>
  </sheetData>
  <mergeCells count="19">
    <mergeCell ref="A18:D18"/>
    <mergeCell ref="E18:I18"/>
    <mergeCell ref="A20:D20"/>
    <mergeCell ref="E20:I20"/>
    <mergeCell ref="I12:T13"/>
    <mergeCell ref="A12:A14"/>
    <mergeCell ref="B12:E13"/>
    <mergeCell ref="A10:D10"/>
    <mergeCell ref="E10:G10"/>
    <mergeCell ref="AB12:AG13"/>
    <mergeCell ref="F13:G13"/>
    <mergeCell ref="X13:X14"/>
    <mergeCell ref="Y13:Y14"/>
    <mergeCell ref="Z13:Z14"/>
    <mergeCell ref="AA13:AA14"/>
    <mergeCell ref="F12:H12"/>
    <mergeCell ref="U12:V13"/>
    <mergeCell ref="W12:W13"/>
    <mergeCell ref="X12:AA12"/>
  </mergeCells>
  <conditionalFormatting sqref="H15:H16">
    <cfRule type="expression" dxfId="67" priority="5" stopIfTrue="1">
      <formula>H15="E"</formula>
    </cfRule>
    <cfRule type="expression" dxfId="66" priority="6" stopIfTrue="1">
      <formula>H15="M"</formula>
    </cfRule>
    <cfRule type="expression" dxfId="65" priority="7" stopIfTrue="1">
      <formula>H15="B"</formula>
    </cfRule>
    <cfRule type="expression" dxfId="64" priority="8" stopIfTrue="1">
      <formula>H15="A"</formula>
    </cfRule>
  </conditionalFormatting>
  <conditionalFormatting sqref="W15:W16">
    <cfRule type="expression" dxfId="63" priority="1" stopIfTrue="1">
      <formula>W15="E"</formula>
    </cfRule>
    <cfRule type="expression" dxfId="62" priority="2" stopIfTrue="1">
      <formula>W15="M"</formula>
    </cfRule>
    <cfRule type="expression" dxfId="61" priority="3" stopIfTrue="1">
      <formula>W15="B"</formula>
    </cfRule>
    <cfRule type="expression" dxfId="60" priority="4" stopIfTrue="1">
      <formula>W15="A"</formula>
    </cfRule>
  </conditionalFormatting>
  <pageMargins left="0.70866141732283472" right="0.70866141732283472" top="0.74803149606299213" bottom="0.74803149606299213" header="0.31496062992125984" footer="0.31496062992125984"/>
  <pageSetup paperSize="9" scale="54" orientation="landscape" r:id="rId1"/>
  <colBreaks count="1" manualBreakCount="1">
    <brk id="15" max="19"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B00-000000000000}">
          <x14:formula1>
            <xm:f>TABLAS!$I$30:$I$33</xm:f>
          </x14:formula1>
          <xm:sqref>R15:R16</xm:sqref>
        </x14:dataValidation>
        <x14:dataValidation type="list" allowBlank="1" showInputMessage="1" showErrorMessage="1" xr:uid="{00000000-0002-0000-0B00-000001000000}">
          <x14:formula1>
            <xm:f>TABLAS!$G$30:$G$33</xm:f>
          </x14:formula1>
          <xm:sqref>P15:P16</xm:sqref>
        </x14:dataValidation>
        <x14:dataValidation type="list" allowBlank="1" showInputMessage="1" showErrorMessage="1" xr:uid="{00000000-0002-0000-0B00-000002000000}">
          <x14:formula1>
            <xm:f>TABLAS!$E$30:$E$33</xm:f>
          </x14:formula1>
          <xm:sqref>N15:N16</xm:sqref>
        </x14:dataValidation>
        <x14:dataValidation type="list" allowBlank="1" showInputMessage="1" showErrorMessage="1" xr:uid="{00000000-0002-0000-0B00-000003000000}">
          <x14:formula1>
            <xm:f>TABLAS!$C$30:$C$33</xm:f>
          </x14:formula1>
          <xm:sqref>L15:L16</xm:sqref>
        </x14:dataValidation>
        <x14:dataValidation type="list" allowBlank="1" showInputMessage="1" showErrorMessage="1" xr:uid="{00000000-0002-0000-0B00-000004000000}">
          <x14:formula1>
            <xm:f>TABLAS!$A$30:$A$32</xm:f>
          </x14:formula1>
          <xm:sqref>J15:J16</xm:sqref>
        </x14:dataValidation>
        <x14:dataValidation type="list" allowBlank="1" showInputMessage="1" showErrorMessage="1" xr:uid="{00000000-0002-0000-0B00-000005000000}">
          <x14:formula1>
            <xm:f>TABLAS!$B$13:$F$13</xm:f>
          </x14:formula1>
          <xm:sqref>G15:G16 V15:V16</xm:sqref>
        </x14:dataValidation>
        <x14:dataValidation type="list" allowBlank="1" showInputMessage="1" showErrorMessage="1" xr:uid="{00000000-0002-0000-0B00-000006000000}">
          <x14:formula1>
            <xm:f>TABLAS!$A$14:$A$18</xm:f>
          </x14:formula1>
          <xm:sqref>F15:F16</xm:sqref>
        </x14:dataValidation>
        <x14:dataValidation type="list" allowBlank="1" showInputMessage="1" showErrorMessage="1" xr:uid="{00000000-0002-0000-0B00-000007000000}">
          <x14:formula1>
            <xm:f>TABLAS!$A$44:$A$52</xm:f>
          </x14:formula1>
          <xm:sqref>D15:D16</xm:sqref>
        </x14:dataValidation>
        <x14:dataValidation type="list" allowBlank="1" showInputMessage="1" showErrorMessage="1" xr:uid="{00000000-0002-0000-0B00-000008000000}">
          <x14:formula1>
            <xm:f>TABLAS!$B$44:$B$52</xm:f>
          </x14:formula1>
          <xm:sqref>E15:E16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sheetPr>
  <dimension ref="A10:S34"/>
  <sheetViews>
    <sheetView view="pageBreakPreview" topLeftCell="B1" zoomScale="60" zoomScaleNormal="90" workbookViewId="0">
      <selection activeCell="G13" sqref="G13"/>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349</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72" x14ac:dyDescent="0.3">
      <c r="A13" s="153" t="s">
        <v>557</v>
      </c>
      <c r="B13" s="126" t="s">
        <v>336</v>
      </c>
      <c r="C13" s="126" t="s">
        <v>468</v>
      </c>
      <c r="D13" s="126" t="s">
        <v>473</v>
      </c>
      <c r="E13" s="139">
        <v>43770</v>
      </c>
      <c r="F13" s="139"/>
      <c r="G13" s="126"/>
      <c r="H13" s="126"/>
      <c r="I13" s="126"/>
    </row>
    <row r="14" spans="1:9" s="89" customFormat="1" ht="14.4" x14ac:dyDescent="0.3">
      <c r="A14" s="126"/>
      <c r="B14" s="126"/>
      <c r="C14" s="126"/>
      <c r="D14" s="12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4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26"/>
      <c r="D20" s="126"/>
      <c r="E20" s="139"/>
      <c r="F20" s="126"/>
      <c r="G20" s="126"/>
      <c r="H20" s="126"/>
      <c r="I20" s="126"/>
    </row>
    <row r="21" spans="1:9" s="89" customFormat="1" ht="14.4" x14ac:dyDescent="0.3">
      <c r="A21" s="126"/>
      <c r="B21" s="126"/>
      <c r="C21" s="126"/>
      <c r="D21" s="126"/>
      <c r="E21" s="139"/>
      <c r="F21" s="126"/>
      <c r="G21" s="126"/>
      <c r="H21" s="126"/>
      <c r="I21" s="126"/>
    </row>
    <row r="22" spans="1:9" s="89" customFormat="1" ht="14.4" x14ac:dyDescent="0.3">
      <c r="A22" s="126"/>
      <c r="B22" s="126"/>
      <c r="C22" s="126"/>
      <c r="D22" s="126"/>
      <c r="E22" s="126"/>
      <c r="F22" s="126"/>
      <c r="G22" s="126"/>
      <c r="H22" s="126"/>
      <c r="I22" s="126"/>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29" spans="1:9" s="89" customFormat="1" ht="14.4" x14ac:dyDescent="0.3">
      <c r="A29" s="90"/>
      <c r="B29" s="90"/>
      <c r="C29" s="90"/>
      <c r="D29" s="90"/>
      <c r="E29" s="90"/>
      <c r="F29" s="90"/>
      <c r="G29" s="90"/>
      <c r="H29" s="90"/>
      <c r="I29" s="90"/>
    </row>
    <row r="30" spans="1:9" s="89" customFormat="1" ht="14.4" x14ac:dyDescent="0.3">
      <c r="A30" s="90"/>
      <c r="B30" s="90"/>
      <c r="C30" s="90"/>
      <c r="D30" s="90"/>
      <c r="E30" s="90"/>
      <c r="F30" s="90"/>
      <c r="G30" s="90"/>
      <c r="H30" s="90"/>
      <c r="I30" s="90"/>
    </row>
    <row r="32" spans="1:9" ht="23.4" x14ac:dyDescent="0.3">
      <c r="A32" s="201" t="s">
        <v>590</v>
      </c>
      <c r="B32" s="201"/>
      <c r="C32" s="201"/>
      <c r="D32" s="201"/>
      <c r="E32" s="206" t="s">
        <v>337</v>
      </c>
      <c r="F32" s="206"/>
      <c r="G32" s="206"/>
      <c r="H32" s="206"/>
      <c r="I32" s="206"/>
    </row>
    <row r="33" spans="1:9" ht="6.75" customHeight="1" x14ac:dyDescent="0.3"/>
    <row r="34" spans="1:9" ht="23.4" x14ac:dyDescent="0.3">
      <c r="A34" s="201" t="s">
        <v>591</v>
      </c>
      <c r="B34" s="201"/>
      <c r="C34" s="201"/>
      <c r="D34" s="201"/>
      <c r="E34" s="206" t="s">
        <v>589</v>
      </c>
      <c r="F34" s="206"/>
      <c r="G34" s="206"/>
      <c r="H34" s="206"/>
      <c r="I34" s="206"/>
    </row>
  </sheetData>
  <sheetProtection algorithmName="SHA-512" hashValue="qb8E9ujkigkoAP7ZYaJ5MdIT2rIMfcA/O6d6+0aK7q0nPsY1NXR1iJC6CwbZyLkMfHkOtxlp79vYsu+o1boCAA==" saltValue="Xn2SG/CK27eEwc0o01HM/Q==" spinCount="100000" sheet="1" objects="1" scenarios="1"/>
  <mergeCells count="6">
    <mergeCell ref="A10:D10"/>
    <mergeCell ref="E10:G10"/>
    <mergeCell ref="A32:D32"/>
    <mergeCell ref="E32:I32"/>
    <mergeCell ref="A34:D34"/>
    <mergeCell ref="E34:I34"/>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P21"/>
  <sheetViews>
    <sheetView view="pageBreakPreview" topLeftCell="T10" zoomScale="60" zoomScaleNormal="100" workbookViewId="0">
      <selection activeCell="AE45" sqref="AE45"/>
    </sheetView>
  </sheetViews>
  <sheetFormatPr baseColWidth="10" defaultColWidth="11.44140625" defaultRowHeight="14.4" x14ac:dyDescent="0.3"/>
  <cols>
    <col min="1" max="1" width="6" style="23" customWidth="1"/>
    <col min="2" max="2" width="13.6640625" style="23" customWidth="1"/>
    <col min="3" max="3" width="17" style="23" customWidth="1"/>
    <col min="4" max="4" width="10.33203125" style="23" customWidth="1"/>
    <col min="5" max="5" width="12.5546875" style="23" customWidth="1"/>
    <col min="6" max="7" width="15.33203125" style="23" customWidth="1"/>
    <col min="8" max="8" width="14.5546875" style="23" customWidth="1"/>
    <col min="9" max="9" width="23.5546875" style="23" customWidth="1"/>
    <col min="10" max="10" width="14.88671875" style="23" customWidth="1"/>
    <col min="11" max="11" width="23.5546875" style="23" hidden="1" customWidth="1"/>
    <col min="12" max="12" width="12.88671875" style="23" customWidth="1"/>
    <col min="13" max="13" width="23.5546875" style="23" hidden="1" customWidth="1"/>
    <col min="14" max="14" width="16.109375" style="23" customWidth="1"/>
    <col min="15" max="15" width="23.5546875" style="23" hidden="1" customWidth="1"/>
    <col min="16" max="16" width="12.109375" style="23" customWidth="1"/>
    <col min="17" max="17" width="12.44140625" style="23" hidden="1" customWidth="1"/>
    <col min="18" max="18" width="13.109375" style="23" customWidth="1"/>
    <col min="19" max="19" width="0.109375" style="23" hidden="1" customWidth="1"/>
    <col min="20" max="21" width="15.44140625" style="23" customWidth="1"/>
    <col min="22" max="22" width="13.109375" style="23" customWidth="1"/>
    <col min="23" max="23" width="13.6640625" style="23" customWidth="1"/>
    <col min="24" max="24" width="15.6640625" style="23" customWidth="1"/>
    <col min="25" max="25" width="25.44140625" style="23" customWidth="1"/>
    <col min="26" max="26" width="15.44140625" style="23" customWidth="1"/>
    <col min="27" max="27" width="19" style="23" customWidth="1"/>
    <col min="28" max="28" width="10.88671875" style="23" bestFit="1" customWidth="1"/>
    <col min="29" max="29" width="11.109375" style="23" bestFit="1" customWidth="1"/>
    <col min="30" max="30" width="10.88671875" style="23" bestFit="1" customWidth="1"/>
    <col min="31" max="31" width="11.109375" style="23" bestFit="1" customWidth="1"/>
    <col min="32" max="32" width="10.88671875" style="23" bestFit="1" customWidth="1"/>
    <col min="33" max="33" width="11.109375" style="23" bestFit="1" customWidth="1"/>
    <col min="34" max="16384" width="11.44140625" style="23"/>
  </cols>
  <sheetData>
    <row r="1" spans="1:42" s="25" customFormat="1" ht="15.6" x14ac:dyDescent="0.3"/>
    <row r="2" spans="1:42" s="25" customFormat="1" ht="15.6" x14ac:dyDescent="0.3"/>
    <row r="3" spans="1:42" s="25" customFormat="1" ht="15.6" x14ac:dyDescent="0.3"/>
    <row r="4" spans="1:42" s="25" customFormat="1" ht="15.6" x14ac:dyDescent="0.3"/>
    <row r="5" spans="1:42" s="25" customFormat="1" ht="15.6" x14ac:dyDescent="0.3"/>
    <row r="6" spans="1:42" s="25" customFormat="1" ht="15.6" x14ac:dyDescent="0.3"/>
    <row r="7" spans="1:42" s="25" customFormat="1" ht="15.6" x14ac:dyDescent="0.3"/>
    <row r="8" spans="1:42" s="25" customFormat="1" ht="15.6" x14ac:dyDescent="0.3"/>
    <row r="9" spans="1:42" s="25" customFormat="1" ht="15.6" x14ac:dyDescent="0.3"/>
    <row r="10" spans="1:42" s="25" customFormat="1" ht="23.4" x14ac:dyDescent="0.3">
      <c r="A10" s="201" t="s">
        <v>343</v>
      </c>
      <c r="B10" s="201"/>
      <c r="C10" s="201"/>
      <c r="D10" s="201"/>
      <c r="E10" s="202" t="s">
        <v>350</v>
      </c>
      <c r="F10" s="202"/>
      <c r="G10" s="202"/>
      <c r="H10" s="202"/>
      <c r="I10" s="202"/>
    </row>
    <row r="12" spans="1:42"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c r="AH12" s="85"/>
      <c r="AI12" s="85"/>
      <c r="AJ12" s="85"/>
      <c r="AK12" s="85"/>
      <c r="AL12" s="85"/>
      <c r="AM12" s="85"/>
      <c r="AN12" s="85"/>
      <c r="AO12" s="85"/>
      <c r="AP12" s="85"/>
    </row>
    <row r="13" spans="1:42" s="78" customFormat="1" ht="32.25" customHeight="1" x14ac:dyDescent="0.3">
      <c r="A13" s="209"/>
      <c r="B13" s="204"/>
      <c r="C13" s="205"/>
      <c r="D13" s="205"/>
      <c r="E13" s="205"/>
      <c r="F13" s="185" t="s">
        <v>110</v>
      </c>
      <c r="G13" s="185"/>
      <c r="H13" s="83"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c r="AH13" s="85"/>
      <c r="AI13" s="85"/>
      <c r="AJ13" s="85"/>
      <c r="AK13" s="85"/>
      <c r="AL13" s="85"/>
      <c r="AM13" s="85"/>
      <c r="AN13" s="85"/>
      <c r="AO13" s="85"/>
      <c r="AP13" s="85"/>
    </row>
    <row r="14" spans="1:42" s="78" customFormat="1" ht="72.75" customHeight="1" x14ac:dyDescent="0.3">
      <c r="A14" s="210"/>
      <c r="B14" s="84" t="s">
        <v>178</v>
      </c>
      <c r="C14" s="84" t="s">
        <v>172</v>
      </c>
      <c r="D14" s="28" t="s">
        <v>373</v>
      </c>
      <c r="E14" s="28" t="s">
        <v>372</v>
      </c>
      <c r="F14" s="83" t="s">
        <v>2</v>
      </c>
      <c r="G14" s="83" t="s">
        <v>3</v>
      </c>
      <c r="H14" s="83" t="s">
        <v>4</v>
      </c>
      <c r="I14" s="83" t="s">
        <v>5</v>
      </c>
      <c r="J14" s="83" t="s">
        <v>66</v>
      </c>
      <c r="K14" s="83" t="s">
        <v>90</v>
      </c>
      <c r="L14" s="83" t="s">
        <v>91</v>
      </c>
      <c r="M14" s="83" t="s">
        <v>90</v>
      </c>
      <c r="N14" s="83" t="s">
        <v>92</v>
      </c>
      <c r="O14" s="83" t="s">
        <v>90</v>
      </c>
      <c r="P14" s="83" t="s">
        <v>93</v>
      </c>
      <c r="Q14" s="83" t="s">
        <v>90</v>
      </c>
      <c r="R14" s="83" t="s">
        <v>94</v>
      </c>
      <c r="S14" s="83" t="s">
        <v>90</v>
      </c>
      <c r="T14" s="83" t="s">
        <v>110</v>
      </c>
      <c r="U14" s="28" t="s">
        <v>6</v>
      </c>
      <c r="V14" s="28" t="s">
        <v>7</v>
      </c>
      <c r="W14" s="28" t="s">
        <v>15</v>
      </c>
      <c r="X14" s="185"/>
      <c r="Y14" s="185"/>
      <c r="Z14" s="185"/>
      <c r="AA14" s="185"/>
      <c r="AB14" s="41" t="s">
        <v>10</v>
      </c>
      <c r="AC14" s="41" t="s">
        <v>11</v>
      </c>
      <c r="AD14" s="41" t="s">
        <v>12</v>
      </c>
      <c r="AE14" s="41" t="s">
        <v>11</v>
      </c>
      <c r="AF14" s="41" t="s">
        <v>13</v>
      </c>
      <c r="AG14" s="41" t="s">
        <v>11</v>
      </c>
      <c r="AH14" s="85"/>
      <c r="AI14" s="85"/>
      <c r="AJ14" s="85"/>
      <c r="AK14" s="85"/>
      <c r="AL14" s="85"/>
      <c r="AM14" s="85"/>
      <c r="AN14" s="85"/>
      <c r="AO14" s="85"/>
      <c r="AP14" s="85"/>
    </row>
    <row r="15" spans="1:42" ht="157.5" customHeight="1" x14ac:dyDescent="0.3">
      <c r="A15" s="86" t="s">
        <v>165</v>
      </c>
      <c r="B15" s="26" t="s">
        <v>26</v>
      </c>
      <c r="C15" s="26" t="s">
        <v>426</v>
      </c>
      <c r="D15" s="26" t="s">
        <v>202</v>
      </c>
      <c r="E15" s="26" t="s">
        <v>385</v>
      </c>
      <c r="F15" s="26">
        <v>1</v>
      </c>
      <c r="G15" s="26" t="s">
        <v>53</v>
      </c>
      <c r="H15" s="24" t="str">
        <f>INDEX(TABLAS!$B$14:$F$18,MATCH(F15,TABLAS!$A$14:$A$18,0),MATCH(G15,TABLAS!$B$13:$F$13,0))</f>
        <v>A</v>
      </c>
      <c r="I15" s="26" t="s">
        <v>425</v>
      </c>
      <c r="J15" s="27" t="s">
        <v>69</v>
      </c>
      <c r="K15" s="27">
        <f>IF(J15="","",VLOOKUP(J15,TABLAS!$A$30:$B$32,2,0))</f>
        <v>1</v>
      </c>
      <c r="L15" s="27" t="s">
        <v>65</v>
      </c>
      <c r="M15" s="27">
        <f>IF(L15="","",VLOOKUP(L15,TABLAS!$C$30:$D$33,2,0))</f>
        <v>3</v>
      </c>
      <c r="N15" s="27" t="s">
        <v>77</v>
      </c>
      <c r="O15" s="27">
        <f>+IF(N15="","",VLOOKUP(N15,TABLAS!$E$30:$F$33,2,0))</f>
        <v>2</v>
      </c>
      <c r="P15" s="27" t="s">
        <v>83</v>
      </c>
      <c r="Q15" s="27">
        <f>+IF(P15="","",VLOOKUP(P15,TABLAS!$G$30:$H$33,2,0))</f>
        <v>1</v>
      </c>
      <c r="R15" s="27" t="s">
        <v>88</v>
      </c>
      <c r="S15" s="27">
        <f>+IF(R15="","",VLOOKUP(R15,TABLAS!$I$30:$J$33,2,0))</f>
        <v>2</v>
      </c>
      <c r="T15" s="27">
        <f>IFERROR(K15*25%+M15*10%+O15*25%+Q15*20%+S15*20%,0)</f>
        <v>1.65</v>
      </c>
      <c r="U15" s="26">
        <f>+IF(T15&gt;=TABLAS!$A$39,F15-TABLAS!$C$39,F15)</f>
        <v>1</v>
      </c>
      <c r="V15" s="26" t="s">
        <v>53</v>
      </c>
      <c r="W15" s="24" t="str">
        <f>INDEX(TABLAS!$B$14:$F$18,MATCH(U15,TABLAS!$A$14:$A$18,0),MATCH(V15,TABLAS!$B$13:$F$13,0))</f>
        <v>A</v>
      </c>
      <c r="X15" s="26" t="str">
        <f>+VLOOKUP(W15,TABLAS!$A$22:$B$25,2,0)</f>
        <v>Plan de Acción para mitigar, evitar, compartir o transferir el riesgo.</v>
      </c>
      <c r="Y15" s="92" t="s">
        <v>466</v>
      </c>
      <c r="Z15" s="26" t="s">
        <v>427</v>
      </c>
      <c r="AA15" s="29">
        <v>43678</v>
      </c>
      <c r="AB15" s="24" t="s">
        <v>36</v>
      </c>
      <c r="AC15" s="24"/>
      <c r="AD15" s="24" t="s">
        <v>36</v>
      </c>
      <c r="AE15" s="24"/>
      <c r="AF15" s="24" t="s">
        <v>36</v>
      </c>
      <c r="AG15" s="24"/>
      <c r="AH15" s="85"/>
      <c r="AI15" s="85"/>
      <c r="AJ15" s="85"/>
      <c r="AK15" s="85"/>
      <c r="AL15" s="85"/>
      <c r="AM15" s="85"/>
      <c r="AN15" s="85"/>
      <c r="AO15" s="85"/>
      <c r="AP15" s="85"/>
    </row>
    <row r="16" spans="1:42" ht="174.75" customHeight="1" x14ac:dyDescent="0.3">
      <c r="A16" s="86" t="s">
        <v>166</v>
      </c>
      <c r="B16" s="26" t="s">
        <v>28</v>
      </c>
      <c r="C16" s="26" t="s">
        <v>428</v>
      </c>
      <c r="D16" s="26" t="s">
        <v>202</v>
      </c>
      <c r="E16" s="26" t="s">
        <v>385</v>
      </c>
      <c r="F16" s="26">
        <v>1</v>
      </c>
      <c r="G16" s="26" t="s">
        <v>53</v>
      </c>
      <c r="H16" s="24" t="str">
        <f>INDEX(TABLAS!$B$14:$F$18,MATCH(F16,TABLAS!$A$14:$A$18,0),MATCH(G16,TABLAS!$B$13:$F$13,0))</f>
        <v>A</v>
      </c>
      <c r="I16" s="26" t="s">
        <v>429</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87</v>
      </c>
      <c r="S16" s="27">
        <f>+IF(R16="","",VLOOKUP(R16,TABLAS!$I$30:$J$33,2,0))</f>
        <v>3</v>
      </c>
      <c r="T16" s="27">
        <f>IFERROR(K16*25%+M16*10%+O16*25%+Q16*20%+S16*20%,0)</f>
        <v>2.5</v>
      </c>
      <c r="U16" s="26">
        <f>+IF(F15=1,1,IF(T15&gt;=TABLAS!$A$39,F15-TABLAS!$C$39,F15))</f>
        <v>1</v>
      </c>
      <c r="V16" s="26" t="s">
        <v>52</v>
      </c>
      <c r="W16" s="24" t="str">
        <f>INDEX(TABLAS!$B$14:$F$18,MATCH(U16,TABLAS!$A$14:$A$18,0),MATCH(V16,TABLAS!$B$13:$F$13,0))</f>
        <v>M</v>
      </c>
      <c r="X16" s="26" t="str">
        <f>+VLOOKUP(W16,TABLAS!$A$22:$B$25,2,0)</f>
        <v>Asumir, mitigar el riesgo</v>
      </c>
      <c r="Y16" s="26"/>
      <c r="Z16" s="26" t="s">
        <v>27</v>
      </c>
      <c r="AA16" s="26" t="s">
        <v>132</v>
      </c>
      <c r="AB16" s="24" t="s">
        <v>36</v>
      </c>
      <c r="AC16" s="24"/>
      <c r="AD16" s="24" t="s">
        <v>36</v>
      </c>
      <c r="AE16" s="24"/>
      <c r="AF16" s="24" t="s">
        <v>36</v>
      </c>
      <c r="AG16" s="24"/>
      <c r="AH16" s="85"/>
      <c r="AI16" s="85"/>
      <c r="AJ16" s="85"/>
      <c r="AK16" s="85"/>
      <c r="AL16" s="85"/>
      <c r="AM16" s="85"/>
      <c r="AN16" s="85"/>
      <c r="AO16" s="85"/>
      <c r="AP16" s="85"/>
    </row>
    <row r="17" spans="1:42" ht="135.75" customHeight="1" x14ac:dyDescent="0.3">
      <c r="A17" s="45" t="s">
        <v>167</v>
      </c>
      <c r="B17" s="26" t="s">
        <v>396</v>
      </c>
      <c r="C17" s="26" t="s">
        <v>395</v>
      </c>
      <c r="D17" s="26" t="s">
        <v>202</v>
      </c>
      <c r="E17" s="26" t="s">
        <v>385</v>
      </c>
      <c r="F17" s="26">
        <v>1</v>
      </c>
      <c r="G17" s="26" t="s">
        <v>54</v>
      </c>
      <c r="H17" s="24" t="str">
        <f>INDEX(TABLAS!$B$14:$F$18,MATCH(F17,TABLAS!$A$14:$A$18,0),MATCH(G17,TABLAS!$B$13:$F$13,0))</f>
        <v>A</v>
      </c>
      <c r="I17" s="54" t="s">
        <v>397</v>
      </c>
      <c r="J17" s="27" t="s">
        <v>69</v>
      </c>
      <c r="K17" s="27">
        <f>IF(J17="","",VLOOKUP(J17,TABLAS!$A$30:$B$32,2,0))</f>
        <v>1</v>
      </c>
      <c r="L17" s="27" t="s">
        <v>65</v>
      </c>
      <c r="M17" s="27">
        <f>IF(L17="","",VLOOKUP(L17,TABLAS!$C$30:$D$33,2,0))</f>
        <v>3</v>
      </c>
      <c r="N17" s="27" t="s">
        <v>77</v>
      </c>
      <c r="O17" s="27">
        <f>+IF(N17="","",VLOOKUP(N17,TABLAS!$E$30:$F$33,2,0))</f>
        <v>2</v>
      </c>
      <c r="P17" s="27" t="s">
        <v>81</v>
      </c>
      <c r="Q17" s="27">
        <f>+IF(P17="","",VLOOKUP(P17,TABLAS!$G$30:$H$33,2,0))</f>
        <v>3</v>
      </c>
      <c r="R17" s="27" t="s">
        <v>87</v>
      </c>
      <c r="S17" s="27">
        <f>+IF(R17="","",VLOOKUP(R17,TABLAS!$I$30:$J$33,2,0))</f>
        <v>3</v>
      </c>
      <c r="T17" s="27">
        <f>IFERROR(K17*25%+M17*10%+O17*25%+Q17*20%+S17*20%,0)</f>
        <v>2.25</v>
      </c>
      <c r="U17" s="26">
        <f>+IF(F15=1,1,IF(T15&gt;=TABLAS!$A$39,F15-TABLAS!$C$39,F15))</f>
        <v>1</v>
      </c>
      <c r="V17" s="26" t="s">
        <v>52</v>
      </c>
      <c r="W17" s="24" t="str">
        <f>INDEX(TABLAS!$B$14:$F$18,MATCH(U17,TABLAS!$A$14:$A$18,0),MATCH(V17,TABLAS!$B$13:$F$13,0))</f>
        <v>M</v>
      </c>
      <c r="X17" s="26" t="str">
        <f>+VLOOKUP(W17,TABLAS!$A$22:$B$25,2,0)</f>
        <v>Asumir, mitigar el riesgo</v>
      </c>
      <c r="Y17" s="26"/>
      <c r="Z17" s="26" t="s">
        <v>398</v>
      </c>
      <c r="AA17" s="26" t="s">
        <v>430</v>
      </c>
      <c r="AB17" s="24" t="s">
        <v>36</v>
      </c>
      <c r="AC17" s="24"/>
      <c r="AD17" s="24" t="s">
        <v>36</v>
      </c>
      <c r="AE17" s="24"/>
      <c r="AF17" s="24" t="s">
        <v>36</v>
      </c>
      <c r="AG17" s="24"/>
      <c r="AH17" s="85"/>
      <c r="AI17" s="85"/>
      <c r="AJ17" s="85"/>
      <c r="AK17" s="85"/>
      <c r="AL17" s="85"/>
      <c r="AM17" s="85"/>
      <c r="AN17" s="85"/>
      <c r="AO17" s="85"/>
      <c r="AP17" s="85"/>
    </row>
    <row r="19" spans="1:42" s="25" customFormat="1" ht="23.4" x14ac:dyDescent="0.3">
      <c r="A19" s="201" t="s">
        <v>587</v>
      </c>
      <c r="B19" s="201"/>
      <c r="C19" s="201"/>
      <c r="D19" s="201"/>
      <c r="E19" s="206" t="s">
        <v>475</v>
      </c>
      <c r="F19" s="206"/>
      <c r="G19" s="206"/>
      <c r="H19" s="206"/>
      <c r="I19" s="206"/>
    </row>
    <row r="20" spans="1:42" s="25" customFormat="1" ht="6.75" customHeight="1" x14ac:dyDescent="0.3">
      <c r="E20" s="145"/>
      <c r="F20" s="145"/>
      <c r="G20" s="145"/>
      <c r="H20" s="145"/>
      <c r="I20" s="145"/>
    </row>
    <row r="21" spans="1:42" s="25" customFormat="1" ht="23.4" x14ac:dyDescent="0.3">
      <c r="A21" s="201" t="s">
        <v>588</v>
      </c>
      <c r="B21" s="201"/>
      <c r="C21" s="201"/>
      <c r="D21" s="201"/>
      <c r="E21" s="206" t="s">
        <v>589</v>
      </c>
      <c r="F21" s="206"/>
      <c r="G21" s="206"/>
      <c r="H21" s="206"/>
      <c r="I21" s="206"/>
    </row>
  </sheetData>
  <mergeCells count="19">
    <mergeCell ref="A21:D21"/>
    <mergeCell ref="E21:I21"/>
    <mergeCell ref="A10:D10"/>
    <mergeCell ref="E10:I10"/>
    <mergeCell ref="A19:D19"/>
    <mergeCell ref="E19:I19"/>
    <mergeCell ref="A12:A14"/>
    <mergeCell ref="B12:E13"/>
    <mergeCell ref="AB12:AG13"/>
    <mergeCell ref="I12:T13"/>
    <mergeCell ref="F12:H12"/>
    <mergeCell ref="F13:G13"/>
    <mergeCell ref="X13:X14"/>
    <mergeCell ref="U12:V13"/>
    <mergeCell ref="W12:W13"/>
    <mergeCell ref="X12:AA12"/>
    <mergeCell ref="Y13:Y14"/>
    <mergeCell ref="Z13:Z14"/>
    <mergeCell ref="AA13:AA14"/>
  </mergeCells>
  <conditionalFormatting sqref="H15:H17 W16:W17">
    <cfRule type="expression" dxfId="59" priority="9" stopIfTrue="1">
      <formula>H15="E"</formula>
    </cfRule>
    <cfRule type="expression" dxfId="58" priority="10" stopIfTrue="1">
      <formula>H15="M"</formula>
    </cfRule>
    <cfRule type="expression" dxfId="57" priority="11" stopIfTrue="1">
      <formula>H15="B"</formula>
    </cfRule>
    <cfRule type="expression" dxfId="56" priority="12" stopIfTrue="1">
      <formula>H15="A"</formula>
    </cfRule>
  </conditionalFormatting>
  <conditionalFormatting sqref="W15">
    <cfRule type="expression" dxfId="55" priority="5" stopIfTrue="1">
      <formula>W15="E"</formula>
    </cfRule>
    <cfRule type="expression" dxfId="54" priority="6" stopIfTrue="1">
      <formula>W15="M"</formula>
    </cfRule>
    <cfRule type="expression" dxfId="53" priority="7" stopIfTrue="1">
      <formula>W15="B"</formula>
    </cfRule>
    <cfRule type="expression" dxfId="52" priority="8" stopIfTrue="1">
      <formula>W15="A"</formula>
    </cfRule>
  </conditionalFormatting>
  <pageMargins left="0.7" right="0.7" top="0.75" bottom="0.75" header="0.3" footer="0.3"/>
  <pageSetup scale="63" orientation="portrait" r:id="rId1"/>
  <colBreaks count="1" manualBreakCount="1">
    <brk id="23" max="20" man="1"/>
  </colBreaks>
  <drawing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00000000-0002-0000-0D00-000000000000}">
          <x14:formula1>
            <xm:f>TABLAS!$A$14:$A$18</xm:f>
          </x14:formula1>
          <xm:sqref>F15:F17</xm:sqref>
        </x14:dataValidation>
        <x14:dataValidation type="list" allowBlank="1" showInputMessage="1" showErrorMessage="1" xr:uid="{00000000-0002-0000-0D00-000001000000}">
          <x14:formula1>
            <xm:f>TABLAS!$B$13:$F$13</xm:f>
          </x14:formula1>
          <xm:sqref>V15:V17 G15:G17</xm:sqref>
        </x14:dataValidation>
        <x14:dataValidation type="list" allowBlank="1" showInputMessage="1" showErrorMessage="1" xr:uid="{00000000-0002-0000-0D00-000002000000}">
          <x14:formula1>
            <xm:f>TABLAS!$I$30:$I$33</xm:f>
          </x14:formula1>
          <xm:sqref>R15:R17</xm:sqref>
        </x14:dataValidation>
        <x14:dataValidation type="list" allowBlank="1" showInputMessage="1" showErrorMessage="1" xr:uid="{00000000-0002-0000-0D00-000003000000}">
          <x14:formula1>
            <xm:f>TABLAS!$G$30:$G$33</xm:f>
          </x14:formula1>
          <xm:sqref>P15:P17</xm:sqref>
        </x14:dataValidation>
        <x14:dataValidation type="list" allowBlank="1" showInputMessage="1" showErrorMessage="1" xr:uid="{00000000-0002-0000-0D00-000004000000}">
          <x14:formula1>
            <xm:f>TABLAS!$E$30:$E$33</xm:f>
          </x14:formula1>
          <xm:sqref>N15:N17</xm:sqref>
        </x14:dataValidation>
        <x14:dataValidation type="list" allowBlank="1" showInputMessage="1" showErrorMessage="1" xr:uid="{00000000-0002-0000-0D00-000005000000}">
          <x14:formula1>
            <xm:f>TABLAS!$C$30:$C$33</xm:f>
          </x14:formula1>
          <xm:sqref>L15:L17</xm:sqref>
        </x14:dataValidation>
        <x14:dataValidation type="list" allowBlank="1" showInputMessage="1" showErrorMessage="1" xr:uid="{00000000-0002-0000-0D00-000006000000}">
          <x14:formula1>
            <xm:f>TABLAS!$A$30:$A$32</xm:f>
          </x14:formula1>
          <xm:sqref>J15:J17</xm:sqref>
        </x14:dataValidation>
        <x14:dataValidation type="list" allowBlank="1" showInputMessage="1" showErrorMessage="1" xr:uid="{00000000-0002-0000-0D00-000007000000}">
          <x14:formula1>
            <xm:f>TABLAS!$B$44:$B$52</xm:f>
          </x14:formula1>
          <xm:sqref>E15:E17</xm:sqref>
        </x14:dataValidation>
        <x14:dataValidation type="list" allowBlank="1" showInputMessage="1" showErrorMessage="1" xr:uid="{00000000-0002-0000-0D00-000008000000}">
          <x14:formula1>
            <xm:f>TABLAS!$A$44:$A$52</xm:f>
          </x14:formula1>
          <xm:sqref>D15:D17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sheetPr>
  <dimension ref="A10:S29"/>
  <sheetViews>
    <sheetView view="pageBreakPreview" topLeftCell="B14" zoomScale="60" zoomScaleNormal="90" workbookViewId="0">
      <selection activeCell="G14" sqref="G14"/>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350</v>
      </c>
      <c r="F10" s="202"/>
      <c r="G10" s="202"/>
      <c r="H10" s="202"/>
      <c r="I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129.6" x14ac:dyDescent="0.3">
      <c r="A13" s="153" t="s">
        <v>558</v>
      </c>
      <c r="B13" s="126" t="s">
        <v>474</v>
      </c>
      <c r="C13" s="126" t="s">
        <v>468</v>
      </c>
      <c r="D13" s="126" t="s">
        <v>475</v>
      </c>
      <c r="E13" s="139">
        <v>43709</v>
      </c>
      <c r="F13" s="139">
        <v>43800</v>
      </c>
      <c r="G13" s="126" t="s">
        <v>599</v>
      </c>
      <c r="H13" s="126"/>
      <c r="I13" s="126"/>
    </row>
    <row r="14" spans="1:9" s="89" customFormat="1" ht="14.4" x14ac:dyDescent="0.3">
      <c r="A14" s="126"/>
      <c r="B14" s="126"/>
      <c r="C14" s="126"/>
      <c r="D14" s="12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4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26"/>
      <c r="G19" s="126"/>
      <c r="H19" s="126"/>
      <c r="I19" s="126"/>
    </row>
    <row r="20" spans="1:9" s="89" customFormat="1" ht="14.4" x14ac:dyDescent="0.3">
      <c r="A20" s="126"/>
      <c r="B20" s="126"/>
      <c r="C20" s="126"/>
      <c r="D20" s="126"/>
      <c r="E20" s="139"/>
      <c r="F20" s="126"/>
      <c r="G20" s="126"/>
      <c r="H20" s="126"/>
      <c r="I20" s="126"/>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7" spans="1:9" ht="23.4" x14ac:dyDescent="0.3">
      <c r="A27" s="201" t="s">
        <v>590</v>
      </c>
      <c r="B27" s="201"/>
      <c r="C27" s="201"/>
      <c r="D27" s="201"/>
      <c r="E27" s="206" t="s">
        <v>475</v>
      </c>
      <c r="F27" s="206"/>
      <c r="G27" s="206"/>
      <c r="H27" s="206"/>
      <c r="I27" s="206"/>
    </row>
    <row r="28" spans="1:9" ht="6.75" customHeight="1" x14ac:dyDescent="0.3"/>
    <row r="29" spans="1:9" ht="23.4" x14ac:dyDescent="0.3">
      <c r="A29" s="201" t="s">
        <v>591</v>
      </c>
      <c r="B29" s="201"/>
      <c r="C29" s="201"/>
      <c r="D29" s="201"/>
      <c r="E29" s="206" t="s">
        <v>589</v>
      </c>
      <c r="F29" s="206"/>
      <c r="G29" s="206"/>
      <c r="H29" s="206"/>
      <c r="I29" s="206"/>
    </row>
  </sheetData>
  <sheetProtection algorithmName="SHA-512" hashValue="LRWE11aBlw9CEkS8mmvF1wAncqNwceJprKTNonGMb8R0CS7hHoPFjaAG2nwd/4EN5cd5sfIg+fNlw2zBnEHLQg==" saltValue="/RUpEG08P3/m7Khj9nPxzA==" spinCount="100000" sheet="1" objects="1" scenarios="1"/>
  <mergeCells count="6">
    <mergeCell ref="A10:D10"/>
    <mergeCell ref="A27:D27"/>
    <mergeCell ref="E27:I27"/>
    <mergeCell ref="A29:D29"/>
    <mergeCell ref="E29:I29"/>
    <mergeCell ref="E10:I10"/>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G22"/>
  <sheetViews>
    <sheetView view="pageBreakPreview" topLeftCell="R13" zoomScale="60" zoomScaleNormal="90" workbookViewId="0">
      <selection activeCell="AA16" sqref="AA16"/>
    </sheetView>
  </sheetViews>
  <sheetFormatPr baseColWidth="10" defaultColWidth="11.44140625" defaultRowHeight="14.4" x14ac:dyDescent="0.3"/>
  <cols>
    <col min="1" max="1" width="5" style="23" customWidth="1"/>
    <col min="2" max="2" width="14.88671875" style="23" customWidth="1"/>
    <col min="3" max="3" width="14.5546875" style="23" customWidth="1"/>
    <col min="4" max="4" width="10.33203125" style="23" customWidth="1"/>
    <col min="5" max="5" width="12.33203125" style="23" customWidth="1"/>
    <col min="6" max="6" width="14.6640625" style="23" customWidth="1"/>
    <col min="7" max="7" width="10.5546875" style="23" customWidth="1"/>
    <col min="8" max="8" width="13.109375" style="23" customWidth="1"/>
    <col min="9" max="9" width="23.5546875" style="23" customWidth="1"/>
    <col min="10" max="10" width="13.44140625" style="23" customWidth="1"/>
    <col min="11" max="11" width="0.5546875" style="23" hidden="1" customWidth="1"/>
    <col min="12" max="12" width="11.109375" style="23" customWidth="1"/>
    <col min="13" max="13" width="23.5546875" style="23" hidden="1" customWidth="1"/>
    <col min="14" max="14" width="14.33203125" style="23" customWidth="1"/>
    <col min="15" max="15" width="1" style="23" hidden="1" customWidth="1"/>
    <col min="16" max="16" width="11.6640625" style="23" customWidth="1"/>
    <col min="17" max="17" width="0.33203125" style="23" hidden="1" customWidth="1"/>
    <col min="18" max="18" width="13.88671875" style="23" customWidth="1"/>
    <col min="19" max="19" width="23.5546875" style="23" hidden="1" customWidth="1"/>
    <col min="20" max="20" width="13.5546875" style="23" customWidth="1"/>
    <col min="21" max="21" width="14.88671875" style="23" customWidth="1"/>
    <col min="22" max="22" width="11.33203125" style="23" customWidth="1"/>
    <col min="23" max="23" width="13.5546875" style="23" customWidth="1"/>
    <col min="24" max="24" width="14.6640625" style="23" customWidth="1"/>
    <col min="25" max="25" width="19.5546875" style="23" customWidth="1"/>
    <col min="26" max="26" width="14.33203125" style="23" customWidth="1"/>
    <col min="27" max="27" width="18.44140625" style="23" customWidth="1"/>
    <col min="28" max="28" width="15.6640625" style="23" customWidth="1"/>
    <col min="29" max="29" width="11.109375" style="23" bestFit="1" customWidth="1"/>
    <col min="30" max="30" width="15.6640625" style="23" customWidth="1"/>
    <col min="31" max="31" width="11.109375" style="23" bestFit="1" customWidth="1"/>
    <col min="32" max="32" width="15.6640625" style="23" customWidth="1"/>
    <col min="33" max="33" width="11.109375" style="23" bestFit="1" customWidth="1"/>
    <col min="34" max="16384" width="11.44140625" style="23"/>
  </cols>
  <sheetData>
    <row r="1" spans="1:33" s="55" customFormat="1" ht="15.6" x14ac:dyDescent="0.3"/>
    <row r="2" spans="1:33" s="55" customFormat="1" ht="15.6" x14ac:dyDescent="0.3"/>
    <row r="3" spans="1:33" s="55" customFormat="1" ht="15.6" x14ac:dyDescent="0.3"/>
    <row r="4" spans="1:33" s="55" customFormat="1" ht="15.6" x14ac:dyDescent="0.3"/>
    <row r="5" spans="1:33" s="55" customFormat="1" ht="15.6" x14ac:dyDescent="0.3"/>
    <row r="6" spans="1:33" s="55" customFormat="1" ht="15.6" x14ac:dyDescent="0.3"/>
    <row r="7" spans="1:33" s="55" customFormat="1" ht="15.6" x14ac:dyDescent="0.3"/>
    <row r="8" spans="1:33" s="55" customFormat="1" ht="15.6" x14ac:dyDescent="0.3"/>
    <row r="9" spans="1:33" s="55" customFormat="1" ht="15.6" x14ac:dyDescent="0.3"/>
    <row r="10" spans="1:33" s="55" customFormat="1" ht="23.4" x14ac:dyDescent="0.3">
      <c r="A10" s="201" t="s">
        <v>343</v>
      </c>
      <c r="B10" s="201"/>
      <c r="C10" s="201"/>
      <c r="D10" s="201"/>
      <c r="E10" s="202" t="s">
        <v>363</v>
      </c>
      <c r="F10" s="202"/>
      <c r="G10" s="202"/>
      <c r="H10" s="202"/>
      <c r="I10" s="202"/>
    </row>
    <row r="12" spans="1:33" s="78" customFormat="1" ht="15.75" customHeight="1" x14ac:dyDescent="0.3">
      <c r="A12" s="221" t="s">
        <v>164</v>
      </c>
      <c r="B12" s="220" t="s">
        <v>374</v>
      </c>
      <c r="C12" s="220"/>
      <c r="D12" s="220"/>
      <c r="E12" s="220"/>
      <c r="F12" s="207" t="s">
        <v>0</v>
      </c>
      <c r="G12" s="207"/>
      <c r="H12" s="207"/>
      <c r="I12" s="185" t="s">
        <v>14</v>
      </c>
      <c r="J12" s="185"/>
      <c r="K12" s="185"/>
      <c r="L12" s="185"/>
      <c r="M12" s="185"/>
      <c r="N12" s="185"/>
      <c r="O12" s="185"/>
      <c r="P12" s="185"/>
      <c r="Q12" s="185"/>
      <c r="R12" s="185"/>
      <c r="S12" s="185"/>
      <c r="T12" s="185"/>
      <c r="U12" s="220" t="s">
        <v>1</v>
      </c>
      <c r="V12" s="220"/>
      <c r="W12" s="220" t="s">
        <v>8</v>
      </c>
      <c r="X12" s="198" t="s">
        <v>598</v>
      </c>
      <c r="Y12" s="199"/>
      <c r="Z12" s="199"/>
      <c r="AA12" s="200"/>
      <c r="AB12" s="179" t="s">
        <v>270</v>
      </c>
      <c r="AC12" s="180"/>
      <c r="AD12" s="180"/>
      <c r="AE12" s="180"/>
      <c r="AF12" s="180"/>
      <c r="AG12" s="181"/>
    </row>
    <row r="13" spans="1:33" s="78" customFormat="1" ht="32.25" customHeight="1" x14ac:dyDescent="0.3">
      <c r="A13" s="221"/>
      <c r="B13" s="220"/>
      <c r="C13" s="220"/>
      <c r="D13" s="220"/>
      <c r="E13" s="220"/>
      <c r="F13" s="185" t="s">
        <v>110</v>
      </c>
      <c r="G13" s="185"/>
      <c r="H13" s="87" t="s">
        <v>146</v>
      </c>
      <c r="I13" s="185"/>
      <c r="J13" s="185"/>
      <c r="K13" s="185"/>
      <c r="L13" s="185"/>
      <c r="M13" s="185"/>
      <c r="N13" s="185"/>
      <c r="O13" s="185"/>
      <c r="P13" s="185"/>
      <c r="Q13" s="185"/>
      <c r="R13" s="185"/>
      <c r="S13" s="185"/>
      <c r="T13" s="185"/>
      <c r="U13" s="220"/>
      <c r="V13" s="220"/>
      <c r="W13" s="220"/>
      <c r="X13" s="185" t="s">
        <v>289</v>
      </c>
      <c r="Y13" s="185" t="s">
        <v>288</v>
      </c>
      <c r="Z13" s="185" t="s">
        <v>9</v>
      </c>
      <c r="AA13" s="185" t="s">
        <v>16</v>
      </c>
      <c r="AB13" s="182"/>
      <c r="AC13" s="183"/>
      <c r="AD13" s="183"/>
      <c r="AE13" s="183"/>
      <c r="AF13" s="183"/>
      <c r="AG13" s="184"/>
    </row>
    <row r="14" spans="1:33" s="78" customFormat="1" ht="72.75" customHeight="1" x14ac:dyDescent="0.3">
      <c r="A14" s="221"/>
      <c r="B14" s="28" t="s">
        <v>178</v>
      </c>
      <c r="C14" s="28" t="s">
        <v>172</v>
      </c>
      <c r="D14" s="28" t="s">
        <v>373</v>
      </c>
      <c r="E14" s="28" t="s">
        <v>372</v>
      </c>
      <c r="F14" s="87" t="s">
        <v>2</v>
      </c>
      <c r="G14" s="87" t="s">
        <v>3</v>
      </c>
      <c r="H14" s="87" t="s">
        <v>4</v>
      </c>
      <c r="I14" s="87" t="s">
        <v>5</v>
      </c>
      <c r="J14" s="87" t="s">
        <v>66</v>
      </c>
      <c r="K14" s="87" t="s">
        <v>90</v>
      </c>
      <c r="L14" s="87" t="s">
        <v>91</v>
      </c>
      <c r="M14" s="87" t="s">
        <v>90</v>
      </c>
      <c r="N14" s="87" t="s">
        <v>92</v>
      </c>
      <c r="O14" s="87" t="s">
        <v>90</v>
      </c>
      <c r="P14" s="87" t="s">
        <v>93</v>
      </c>
      <c r="Q14" s="87" t="s">
        <v>90</v>
      </c>
      <c r="R14" s="87" t="s">
        <v>94</v>
      </c>
      <c r="S14" s="87" t="s">
        <v>90</v>
      </c>
      <c r="T14" s="87" t="s">
        <v>110</v>
      </c>
      <c r="U14" s="28" t="s">
        <v>6</v>
      </c>
      <c r="V14" s="28" t="s">
        <v>7</v>
      </c>
      <c r="W14" s="28" t="s">
        <v>15</v>
      </c>
      <c r="X14" s="185"/>
      <c r="Y14" s="185"/>
      <c r="Z14" s="185"/>
      <c r="AA14" s="185"/>
      <c r="AB14" s="41" t="s">
        <v>10</v>
      </c>
      <c r="AC14" s="41" t="s">
        <v>11</v>
      </c>
      <c r="AD14" s="41" t="s">
        <v>12</v>
      </c>
      <c r="AE14" s="41" t="s">
        <v>11</v>
      </c>
      <c r="AF14" s="41" t="s">
        <v>13</v>
      </c>
      <c r="AG14" s="41" t="s">
        <v>11</v>
      </c>
    </row>
    <row r="15" spans="1:33" ht="140.25" customHeight="1" x14ac:dyDescent="0.3">
      <c r="A15" s="45" t="s">
        <v>165</v>
      </c>
      <c r="B15" s="92" t="s">
        <v>404</v>
      </c>
      <c r="C15" s="92" t="s">
        <v>407</v>
      </c>
      <c r="D15" s="92" t="s">
        <v>203</v>
      </c>
      <c r="E15" s="92" t="s">
        <v>385</v>
      </c>
      <c r="F15" s="92">
        <v>1</v>
      </c>
      <c r="G15" s="92" t="s">
        <v>53</v>
      </c>
      <c r="H15" s="24" t="str">
        <f>INDEX(TABLAS!$B$14:$F$18,MATCH(F15,TABLAS!$A$14:$A$18,0),MATCH(G15,TABLAS!$B$13:$F$13,0))</f>
        <v>A</v>
      </c>
      <c r="I15" s="92" t="s">
        <v>414</v>
      </c>
      <c r="J15" s="27" t="s">
        <v>69</v>
      </c>
      <c r="K15" s="27">
        <f>IF(J15="","",VLOOKUP(J15,TABLAS!$A$30:$B$32,2,0))</f>
        <v>1</v>
      </c>
      <c r="L15" s="27" t="s">
        <v>65</v>
      </c>
      <c r="M15" s="27">
        <f>IF(L15="","",VLOOKUP(L15,TABLAS!$C$30:$D$33,2,0))</f>
        <v>3</v>
      </c>
      <c r="N15" s="27" t="s">
        <v>76</v>
      </c>
      <c r="O15" s="27">
        <f>+IF(N15="","",VLOOKUP(N15,TABLAS!$E$30:$F$33,2,0))</f>
        <v>3</v>
      </c>
      <c r="P15" s="27" t="s">
        <v>81</v>
      </c>
      <c r="Q15" s="27">
        <f>+IF(P15="","",VLOOKUP(P15,TABLAS!$G$30:$H$33,2,0))</f>
        <v>3</v>
      </c>
      <c r="R15" s="27" t="s">
        <v>87</v>
      </c>
      <c r="S15" s="27">
        <f>+IF(R15="","",VLOOKUP(R15,TABLAS!$I$30:$J$33,2,0))</f>
        <v>3</v>
      </c>
      <c r="T15" s="27">
        <f>IFERROR(K15*25%+M15*10%+O15*25%+Q15*20%+S15*20%,0)</f>
        <v>2.5</v>
      </c>
      <c r="U15" s="92">
        <f>+IF(F15=1,1,IF(T15&gt;=TABLAS!$A$39,F15-TABLAS!$C$39,F15))</f>
        <v>1</v>
      </c>
      <c r="V15" s="92" t="s">
        <v>52</v>
      </c>
      <c r="W15" s="24" t="str">
        <f>INDEX(TABLAS!$B$14:$F$18,MATCH(U15,TABLAS!$A$14:$A$18,0),MATCH(V15,TABLAS!$B$13:$F$13,0))</f>
        <v>M</v>
      </c>
      <c r="X15" s="92" t="str">
        <f>+VLOOKUP(W15,TABLAS!$A$22:$B$25,2,0)</f>
        <v>Asumir, mitigar el riesgo</v>
      </c>
      <c r="Y15" s="92"/>
      <c r="Z15" s="92" t="s">
        <v>413</v>
      </c>
      <c r="AA15" s="92" t="s">
        <v>416</v>
      </c>
      <c r="AB15" s="2" t="s">
        <v>36</v>
      </c>
      <c r="AC15" s="2"/>
      <c r="AD15" s="2"/>
      <c r="AE15" s="2"/>
      <c r="AF15" s="2" t="s">
        <v>36</v>
      </c>
      <c r="AG15" s="2"/>
    </row>
    <row r="16" spans="1:33" ht="140.25" customHeight="1" x14ac:dyDescent="0.3">
      <c r="A16" s="45" t="s">
        <v>166</v>
      </c>
      <c r="B16" s="92" t="s">
        <v>405</v>
      </c>
      <c r="C16" s="92" t="s">
        <v>408</v>
      </c>
      <c r="D16" s="92" t="s">
        <v>203</v>
      </c>
      <c r="E16" s="92" t="s">
        <v>385</v>
      </c>
      <c r="F16" s="92">
        <v>3</v>
      </c>
      <c r="G16" s="92" t="s">
        <v>52</v>
      </c>
      <c r="H16" s="24" t="str">
        <f>INDEX(TABLAS!$B$14:$F$18,MATCH(F16,TABLAS!$A$14:$A$18,0),MATCH(G16,TABLAS!$B$13:$F$13,0))</f>
        <v>A</v>
      </c>
      <c r="I16" s="92" t="s">
        <v>411</v>
      </c>
      <c r="J16" s="27" t="s">
        <v>69</v>
      </c>
      <c r="K16" s="27">
        <f>IF(J16="","",VLOOKUP(J16,TABLAS!$A$30:$B$32,2,0))</f>
        <v>1</v>
      </c>
      <c r="L16" s="27" t="s">
        <v>65</v>
      </c>
      <c r="M16" s="27">
        <f>IF(L16="","",VLOOKUP(L16,TABLAS!$C$30:$D$33,2,0))</f>
        <v>3</v>
      </c>
      <c r="N16" s="27" t="s">
        <v>79</v>
      </c>
      <c r="O16" s="27">
        <f>+IF(N16="","",VLOOKUP(N16,TABLAS!$E$30:$F$33,2,0))</f>
        <v>0</v>
      </c>
      <c r="P16" s="27" t="s">
        <v>83</v>
      </c>
      <c r="Q16" s="27">
        <f>+IF(P16="","",VLOOKUP(P16,TABLAS!$G$30:$H$33,2,0))</f>
        <v>1</v>
      </c>
      <c r="R16" s="27" t="s">
        <v>87</v>
      </c>
      <c r="S16" s="27">
        <f>+IF(R16="","",VLOOKUP(R16,TABLAS!$I$30:$J$33,2,0))</f>
        <v>3</v>
      </c>
      <c r="T16" s="27">
        <f>IFERROR(K16*25%+M16*10%+O16*25%+Q16*20%+S16*20%,0)</f>
        <v>1.35</v>
      </c>
      <c r="U16" s="92">
        <f>+IF(T16&gt;=TABLAS!$A$39,F16-TABLAS!$C$39,F16)</f>
        <v>3</v>
      </c>
      <c r="V16" s="92" t="s">
        <v>52</v>
      </c>
      <c r="W16" s="24" t="str">
        <f>INDEX(TABLAS!$B$14:$F$18,MATCH(U16,TABLAS!$A$14:$A$18,0),MATCH(V16,TABLAS!$B$13:$F$13,0))</f>
        <v>A</v>
      </c>
      <c r="X16" s="92" t="str">
        <f>+VLOOKUP(W16,TABLAS!$A$22:$B$25,2,0)</f>
        <v>Plan de Acción para mitigar, evitar, compartir o transferir el riesgo.</v>
      </c>
      <c r="Y16" s="92" t="s">
        <v>415</v>
      </c>
      <c r="Z16" s="92" t="s">
        <v>413</v>
      </c>
      <c r="AA16" s="29">
        <v>43678</v>
      </c>
      <c r="AB16" s="2" t="s">
        <v>36</v>
      </c>
      <c r="AC16" s="2"/>
      <c r="AD16" s="2"/>
      <c r="AE16" s="2"/>
      <c r="AF16" s="2" t="s">
        <v>36</v>
      </c>
      <c r="AG16" s="2"/>
    </row>
    <row r="17" spans="1:33" ht="105" customHeight="1" x14ac:dyDescent="0.3">
      <c r="A17" s="45">
        <v>3</v>
      </c>
      <c r="B17" s="92" t="s">
        <v>409</v>
      </c>
      <c r="C17" s="92" t="s">
        <v>410</v>
      </c>
      <c r="D17" s="92" t="s">
        <v>203</v>
      </c>
      <c r="E17" s="92" t="s">
        <v>385</v>
      </c>
      <c r="F17" s="92">
        <v>3</v>
      </c>
      <c r="G17" s="92" t="s">
        <v>52</v>
      </c>
      <c r="H17" s="24" t="str">
        <f>INDEX(TABLAS!$B$14:$F$18,MATCH(F17,TABLAS!$A$14:$A$18,0),MATCH(G17,TABLAS!$B$13:$F$13,0))</f>
        <v>A</v>
      </c>
      <c r="I17" s="92" t="s">
        <v>412</v>
      </c>
      <c r="J17" s="27" t="s">
        <v>69</v>
      </c>
      <c r="K17" s="27">
        <f>IF(J17="","",VLOOKUP(J17,TABLAS!$A$30:$B$32,2,0))</f>
        <v>1</v>
      </c>
      <c r="L17" s="27" t="s">
        <v>65</v>
      </c>
      <c r="M17" s="27">
        <f>IF(L17="","",VLOOKUP(L17,TABLAS!$C$30:$D$33,2,0))</f>
        <v>3</v>
      </c>
      <c r="N17" s="27" t="s">
        <v>76</v>
      </c>
      <c r="O17" s="27">
        <f>+IF(N17="","",VLOOKUP(N17,TABLAS!$E$30:$F$33,2,0))</f>
        <v>3</v>
      </c>
      <c r="P17" s="27" t="s">
        <v>81</v>
      </c>
      <c r="Q17" s="27">
        <f>+IF(P17="","",VLOOKUP(P17,TABLAS!$G$30:$H$33,2,0))</f>
        <v>3</v>
      </c>
      <c r="R17" s="27" t="s">
        <v>87</v>
      </c>
      <c r="S17" s="27">
        <f>+IF(R17="","",VLOOKUP(R17,TABLAS!$I$30:$J$33,2,0))</f>
        <v>3</v>
      </c>
      <c r="T17" s="27">
        <f>IFERROR(K17*25%+M17*10%+O17*25%+Q17*20%+S17*20%,0)</f>
        <v>2.5</v>
      </c>
      <c r="U17" s="92">
        <f>+IF(T17&gt;=TABLAS!$A$39,F17-TABLAS!$C$39,F17)</f>
        <v>2</v>
      </c>
      <c r="V17" s="92" t="s">
        <v>52</v>
      </c>
      <c r="W17" s="24" t="str">
        <f>INDEX(TABLAS!$B$14:$F$18,MATCH(U17,TABLAS!$A$14:$A$18,0),MATCH(V17,TABLAS!$B$13:$F$13,0))</f>
        <v>M</v>
      </c>
      <c r="X17" s="92" t="str">
        <f>+VLOOKUP(W17,TABLAS!$A$22:$B$25,2,0)</f>
        <v>Asumir, mitigar el riesgo</v>
      </c>
      <c r="Y17" s="92"/>
      <c r="Z17" s="92" t="s">
        <v>413</v>
      </c>
      <c r="AA17" s="92" t="s">
        <v>417</v>
      </c>
      <c r="AB17" s="2" t="s">
        <v>36</v>
      </c>
      <c r="AC17" s="2"/>
      <c r="AD17" s="2"/>
      <c r="AE17" s="2"/>
      <c r="AF17" s="2" t="s">
        <v>36</v>
      </c>
      <c r="AG17" s="2"/>
    </row>
    <row r="18" spans="1:33" ht="102" customHeight="1" x14ac:dyDescent="0.3">
      <c r="A18" s="45">
        <v>4</v>
      </c>
      <c r="B18" s="92" t="s">
        <v>418</v>
      </c>
      <c r="C18" s="92" t="s">
        <v>406</v>
      </c>
      <c r="D18" s="92" t="s">
        <v>203</v>
      </c>
      <c r="E18" s="92" t="s">
        <v>385</v>
      </c>
      <c r="F18" s="92">
        <v>2</v>
      </c>
      <c r="G18" s="92" t="s">
        <v>52</v>
      </c>
      <c r="H18" s="24" t="str">
        <f>INDEX(TABLAS!$B$14:$F$18,MATCH(F18,TABLAS!$A$14:$A$18,0),MATCH(G18,TABLAS!$B$13:$F$13,0))</f>
        <v>M</v>
      </c>
      <c r="I18" s="92" t="s">
        <v>419</v>
      </c>
      <c r="J18" s="27" t="s">
        <v>69</v>
      </c>
      <c r="K18" s="27">
        <f>IF(J18="","",VLOOKUP(J18,TABLAS!$A$30:$B$32,2,0))</f>
        <v>1</v>
      </c>
      <c r="L18" s="27" t="s">
        <v>65</v>
      </c>
      <c r="M18" s="27">
        <f>IF(L18="","",VLOOKUP(L18,TABLAS!$C$30:$D$33,2,0))</f>
        <v>3</v>
      </c>
      <c r="N18" s="27" t="s">
        <v>76</v>
      </c>
      <c r="O18" s="27">
        <f>+IF(N18="","",VLOOKUP(N18,TABLAS!$E$30:$F$33,2,0))</f>
        <v>3</v>
      </c>
      <c r="P18" s="27" t="s">
        <v>81</v>
      </c>
      <c r="Q18" s="27">
        <f>+IF(P18="","",VLOOKUP(P18,TABLAS!$G$30:$H$33,2,0))</f>
        <v>3</v>
      </c>
      <c r="R18" s="27" t="s">
        <v>87</v>
      </c>
      <c r="S18" s="27">
        <f>+IF(R18="","",VLOOKUP(R18,TABLAS!$I$30:$J$33,2,0))</f>
        <v>3</v>
      </c>
      <c r="T18" s="27">
        <f>IFERROR(K18*25%+M18*10%+O18*25%+Q18*20%+S18*20%,0)</f>
        <v>2.5</v>
      </c>
      <c r="U18" s="92">
        <f>+IF(T18&gt;=TABLAS!$A$39,F18-TABLAS!$C$39,F18)</f>
        <v>1</v>
      </c>
      <c r="V18" s="92" t="s">
        <v>52</v>
      </c>
      <c r="W18" s="24" t="str">
        <f>INDEX(TABLAS!$B$14:$F$18,MATCH(U18,TABLAS!$A$14:$A$18,0),MATCH(V18,TABLAS!$B$13:$F$13,0))</f>
        <v>M</v>
      </c>
      <c r="X18" s="92" t="str">
        <f>+VLOOKUP(W18,TABLAS!$A$22:$B$25,2,0)</f>
        <v>Asumir, mitigar el riesgo</v>
      </c>
      <c r="Y18" s="92"/>
      <c r="Z18" s="92" t="s">
        <v>413</v>
      </c>
      <c r="AA18" s="92" t="s">
        <v>420</v>
      </c>
      <c r="AB18" s="2" t="s">
        <v>36</v>
      </c>
      <c r="AC18" s="2"/>
      <c r="AD18" s="2"/>
      <c r="AE18" s="2"/>
      <c r="AF18" s="2" t="s">
        <v>36</v>
      </c>
      <c r="AG18" s="2"/>
    </row>
    <row r="20" spans="1:33" s="55" customFormat="1" ht="23.4" x14ac:dyDescent="0.3">
      <c r="A20" s="201" t="s">
        <v>587</v>
      </c>
      <c r="B20" s="201"/>
      <c r="C20" s="201"/>
      <c r="D20" s="201"/>
      <c r="E20" s="206" t="s">
        <v>592</v>
      </c>
      <c r="F20" s="206"/>
      <c r="G20" s="206"/>
      <c r="H20" s="206"/>
      <c r="I20" s="206"/>
    </row>
    <row r="21" spans="1:33" s="55" customFormat="1" ht="6.75" customHeight="1" x14ac:dyDescent="0.3">
      <c r="E21" s="145"/>
      <c r="F21" s="145"/>
      <c r="G21" s="145"/>
      <c r="H21" s="145"/>
      <c r="I21" s="145"/>
    </row>
    <row r="22" spans="1:33" s="55" customFormat="1" ht="23.4" x14ac:dyDescent="0.3">
      <c r="A22" s="201" t="s">
        <v>588</v>
      </c>
      <c r="B22" s="201"/>
      <c r="C22" s="201"/>
      <c r="D22" s="201"/>
      <c r="E22" s="206" t="s">
        <v>589</v>
      </c>
      <c r="F22" s="206"/>
      <c r="G22" s="206"/>
      <c r="H22" s="206"/>
      <c r="I22" s="206"/>
    </row>
  </sheetData>
  <mergeCells count="19">
    <mergeCell ref="A10:D10"/>
    <mergeCell ref="E10:I10"/>
    <mergeCell ref="A12:A14"/>
    <mergeCell ref="F12:H12"/>
    <mergeCell ref="I12:T13"/>
    <mergeCell ref="B12:E13"/>
    <mergeCell ref="W12:W13"/>
    <mergeCell ref="X12:AA12"/>
    <mergeCell ref="AB12:AG13"/>
    <mergeCell ref="F13:G13"/>
    <mergeCell ref="X13:X14"/>
    <mergeCell ref="Y13:Y14"/>
    <mergeCell ref="Z13:Z14"/>
    <mergeCell ref="AA13:AA14"/>
    <mergeCell ref="A20:D20"/>
    <mergeCell ref="E20:I20"/>
    <mergeCell ref="A22:D22"/>
    <mergeCell ref="E22:I22"/>
    <mergeCell ref="U12:V13"/>
  </mergeCells>
  <conditionalFormatting sqref="H15:H18 W15:W18">
    <cfRule type="expression" dxfId="51" priority="9" stopIfTrue="1">
      <formula>H15="E"</formula>
    </cfRule>
    <cfRule type="expression" dxfId="50" priority="10" stopIfTrue="1">
      <formula>H15="M"</formula>
    </cfRule>
    <cfRule type="expression" dxfId="49" priority="11" stopIfTrue="1">
      <formula>H15="B"</formula>
    </cfRule>
    <cfRule type="expression" dxfId="48" priority="12" stopIfTrue="1">
      <formula>H15="A"</formula>
    </cfRule>
  </conditionalFormatting>
  <pageMargins left="0.7" right="0.7" top="0.75" bottom="0.75" header="0.3" footer="0.3"/>
  <pageSetup scale="35" orientation="portrait" r:id="rId1"/>
  <colBreaks count="1" manualBreakCount="1">
    <brk id="11" max="21"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F00-000000000000}">
          <x14:formula1>
            <xm:f>TABLAS!$A$30:$A$32</xm:f>
          </x14:formula1>
          <xm:sqref>J15:J18</xm:sqref>
        </x14:dataValidation>
        <x14:dataValidation type="list" allowBlank="1" showInputMessage="1" showErrorMessage="1" xr:uid="{00000000-0002-0000-0F00-000001000000}">
          <x14:formula1>
            <xm:f>TABLAS!$C$30:$C$33</xm:f>
          </x14:formula1>
          <xm:sqref>L15:L18</xm:sqref>
        </x14:dataValidation>
        <x14:dataValidation type="list" allowBlank="1" showInputMessage="1" showErrorMessage="1" xr:uid="{00000000-0002-0000-0F00-000002000000}">
          <x14:formula1>
            <xm:f>TABLAS!$E$30:$E$33</xm:f>
          </x14:formula1>
          <xm:sqref>N15:N18</xm:sqref>
        </x14:dataValidation>
        <x14:dataValidation type="list" allowBlank="1" showInputMessage="1" showErrorMessage="1" xr:uid="{00000000-0002-0000-0F00-000003000000}">
          <x14:formula1>
            <xm:f>TABLAS!$G$30:$G$33</xm:f>
          </x14:formula1>
          <xm:sqref>P15:P18</xm:sqref>
        </x14:dataValidation>
        <x14:dataValidation type="list" allowBlank="1" showInputMessage="1" showErrorMessage="1" xr:uid="{00000000-0002-0000-0F00-000004000000}">
          <x14:formula1>
            <xm:f>TABLAS!$I$30:$I$33</xm:f>
          </x14:formula1>
          <xm:sqref>R15:R18</xm:sqref>
        </x14:dataValidation>
        <x14:dataValidation type="list" allowBlank="1" showInputMessage="1" showErrorMessage="1" xr:uid="{00000000-0002-0000-0F00-000005000000}">
          <x14:formula1>
            <xm:f>TABLAS!$B$13:$F$13</xm:f>
          </x14:formula1>
          <xm:sqref>V15:V18 G15:G18</xm:sqref>
        </x14:dataValidation>
        <x14:dataValidation type="list" allowBlank="1" showInputMessage="1" showErrorMessage="1" xr:uid="{00000000-0002-0000-0F00-000006000000}">
          <x14:formula1>
            <xm:f>TABLAS!$A$14:$A$18</xm:f>
          </x14:formula1>
          <xm:sqref>F15:F18</xm:sqref>
        </x14:dataValidation>
        <x14:dataValidation type="list" allowBlank="1" showInputMessage="1" showErrorMessage="1" xr:uid="{00000000-0002-0000-0F00-000007000000}">
          <x14:formula1>
            <xm:f>TABLAS!$A$44:$A$52</xm:f>
          </x14:formula1>
          <xm:sqref>D15:D18</xm:sqref>
        </x14:dataValidation>
        <x14:dataValidation type="list" allowBlank="1" showInputMessage="1" showErrorMessage="1" xr:uid="{00000000-0002-0000-0F00-000008000000}">
          <x14:formula1>
            <xm:f>TABLAS!$B$44:$B$52</xm:f>
          </x14:formula1>
          <xm:sqref>E15:E18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10:S32"/>
  <sheetViews>
    <sheetView view="pageBreakPreview" topLeftCell="A19" zoomScale="60" zoomScaleNormal="90" workbookViewId="0">
      <selection activeCell="F13" sqref="F13"/>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363</v>
      </c>
      <c r="F10" s="202"/>
      <c r="G10" s="202"/>
      <c r="H10" s="202"/>
      <c r="I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86.4" x14ac:dyDescent="0.3">
      <c r="A13" s="153" t="s">
        <v>559</v>
      </c>
      <c r="B13" s="126" t="s">
        <v>415</v>
      </c>
      <c r="C13" s="126" t="s">
        <v>468</v>
      </c>
      <c r="D13" s="126" t="s">
        <v>413</v>
      </c>
      <c r="E13" s="139">
        <v>43678</v>
      </c>
      <c r="F13" s="139"/>
      <c r="G13" s="126"/>
      <c r="H13" s="126"/>
      <c r="I13" s="126"/>
    </row>
    <row r="14" spans="1:9" s="89" customFormat="1" ht="14.4" x14ac:dyDescent="0.3">
      <c r="A14" s="126"/>
      <c r="B14" s="126"/>
      <c r="C14" s="126"/>
      <c r="D14" s="12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4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26"/>
      <c r="G18" s="126"/>
      <c r="H18" s="126"/>
      <c r="I18" s="126"/>
    </row>
    <row r="19" spans="1:9" s="89" customFormat="1" ht="14.4" x14ac:dyDescent="0.3">
      <c r="A19" s="126"/>
      <c r="B19" s="126"/>
      <c r="C19" s="126"/>
      <c r="D19" s="126"/>
      <c r="E19" s="139"/>
      <c r="F19" s="126"/>
      <c r="G19" s="126"/>
      <c r="H19" s="126"/>
      <c r="I19" s="126"/>
    </row>
    <row r="20" spans="1:9" s="89" customFormat="1" ht="14.4" x14ac:dyDescent="0.3">
      <c r="A20" s="126"/>
      <c r="B20" s="126"/>
      <c r="C20" s="126"/>
      <c r="D20" s="126"/>
      <c r="E20" s="126"/>
      <c r="F20" s="126"/>
      <c r="G20" s="126"/>
      <c r="H20" s="126"/>
      <c r="I20" s="126"/>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30" spans="1:9" ht="23.4" x14ac:dyDescent="0.3">
      <c r="A30" s="201" t="s">
        <v>590</v>
      </c>
      <c r="B30" s="201"/>
      <c r="C30" s="201"/>
      <c r="D30" s="201"/>
      <c r="E30" s="206" t="s">
        <v>592</v>
      </c>
      <c r="F30" s="206"/>
      <c r="G30" s="206"/>
      <c r="H30" s="206"/>
      <c r="I30" s="206"/>
    </row>
    <row r="31" spans="1:9" ht="6.75" customHeight="1" x14ac:dyDescent="0.3"/>
    <row r="32" spans="1:9" ht="23.4" x14ac:dyDescent="0.3">
      <c r="A32" s="201" t="s">
        <v>591</v>
      </c>
      <c r="B32" s="201"/>
      <c r="C32" s="201"/>
      <c r="D32" s="201"/>
      <c r="E32" s="206" t="s">
        <v>589</v>
      </c>
      <c r="F32" s="206"/>
      <c r="G32" s="206"/>
      <c r="H32" s="206"/>
      <c r="I32" s="206"/>
    </row>
  </sheetData>
  <sheetProtection algorithmName="SHA-512" hashValue="tWo032RUPu8n24D+n/1djmUf35yPqieJnG7dB3WOBJ8rGDv7B3+JW174+cgJAbQzRXYAnL1FPvwOw2eYCltSVQ==" saltValue="ne4GiinKwYN1GjAX77YDKw==" spinCount="100000" sheet="1" objects="1" scenarios="1"/>
  <mergeCells count="6">
    <mergeCell ref="A10:D10"/>
    <mergeCell ref="A30:D30"/>
    <mergeCell ref="E30:I30"/>
    <mergeCell ref="A32:D32"/>
    <mergeCell ref="E32:I32"/>
    <mergeCell ref="E10:I10"/>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0:AG23"/>
  <sheetViews>
    <sheetView view="pageBreakPreview" topLeftCell="U16" zoomScale="60" zoomScaleNormal="70" workbookViewId="0">
      <selection activeCell="AG19" sqref="AG19"/>
    </sheetView>
  </sheetViews>
  <sheetFormatPr baseColWidth="10" defaultColWidth="11.44140625" defaultRowHeight="15.6" x14ac:dyDescent="0.3"/>
  <cols>
    <col min="1" max="1" width="10.33203125" style="25" customWidth="1"/>
    <col min="2" max="2" width="24" style="25" bestFit="1" customWidth="1"/>
    <col min="3" max="5" width="24" style="25" customWidth="1"/>
    <col min="6" max="6" width="17.5546875" style="25" customWidth="1"/>
    <col min="7" max="7" width="16.5546875" style="25" customWidth="1"/>
    <col min="8" max="8" width="15.109375" style="25" customWidth="1"/>
    <col min="9" max="9" width="33.6640625" style="25" customWidth="1"/>
    <col min="10" max="10" width="18.44140625" style="25" customWidth="1"/>
    <col min="11" max="11" width="14.88671875" style="25" hidden="1" customWidth="1"/>
    <col min="12" max="12" width="14.88671875" style="25" customWidth="1"/>
    <col min="13" max="13" width="14.88671875" style="25" hidden="1" customWidth="1"/>
    <col min="14" max="14" width="17.109375" style="25" customWidth="1"/>
    <col min="15" max="15" width="14.88671875" style="25" hidden="1" customWidth="1"/>
    <col min="16" max="16" width="14.88671875" style="25" customWidth="1"/>
    <col min="17" max="17" width="14.88671875" style="25" hidden="1" customWidth="1"/>
    <col min="18" max="18" width="14.88671875" style="25" customWidth="1"/>
    <col min="19" max="19" width="14.88671875" style="25" hidden="1" customWidth="1"/>
    <col min="20" max="20" width="14.88671875" style="25" customWidth="1"/>
    <col min="21" max="21" width="19" style="25" customWidth="1"/>
    <col min="22" max="22" width="13.44140625" style="25" customWidth="1"/>
    <col min="23" max="23" width="19.88671875" style="25" customWidth="1"/>
    <col min="24" max="24" width="19.44140625" style="25" customWidth="1"/>
    <col min="25" max="25" width="17.6640625" style="25" customWidth="1"/>
    <col min="26" max="26" width="15.5546875" style="25" customWidth="1"/>
    <col min="27" max="27" width="19.33203125" style="25" customWidth="1"/>
    <col min="28" max="33" width="11.44140625" style="25" customWidth="1"/>
    <col min="34" max="16384" width="11.44140625" style="25"/>
  </cols>
  <sheetData>
    <row r="10" spans="1:33" ht="23.4" x14ac:dyDescent="0.3">
      <c r="A10" s="201" t="s">
        <v>343</v>
      </c>
      <c r="B10" s="201"/>
      <c r="C10" s="201"/>
      <c r="D10" s="201"/>
      <c r="E10" s="202" t="s">
        <v>351</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63" customHeight="1" x14ac:dyDescent="0.3">
      <c r="A15" s="43">
        <v>1</v>
      </c>
      <c r="B15" s="26" t="s">
        <v>232</v>
      </c>
      <c r="C15" s="26" t="s">
        <v>233</v>
      </c>
      <c r="D15" s="26" t="s">
        <v>203</v>
      </c>
      <c r="E15" s="26" t="s">
        <v>385</v>
      </c>
      <c r="F15" s="24">
        <v>2</v>
      </c>
      <c r="G15" s="24" t="s">
        <v>53</v>
      </c>
      <c r="H15" s="24" t="str">
        <f>INDEX(TABLAS!$B$14:$F$18,MATCH(F15,TABLAS!$A$14:$A$18,0),MATCH(G15,TABLAS!$B$13:$F$13,0))</f>
        <v>A</v>
      </c>
      <c r="I15" s="26" t="s">
        <v>145</v>
      </c>
      <c r="J15" s="27" t="s">
        <v>69</v>
      </c>
      <c r="K15" s="27">
        <f>IF(J15="","",VLOOKUP(J15,TABLAS!$A$30:$B$32,2,0))</f>
        <v>1</v>
      </c>
      <c r="L15" s="27" t="s">
        <v>65</v>
      </c>
      <c r="M15" s="27">
        <f>IF(L15="","",VLOOKUP(L15,TABLAS!$C$30:$D$33,2,0))</f>
        <v>3</v>
      </c>
      <c r="N15" s="27" t="s">
        <v>76</v>
      </c>
      <c r="O15" s="27">
        <f>+IF(N15="","",VLOOKUP(N15,TABLAS!$E$30:$F$33,2,0))</f>
        <v>3</v>
      </c>
      <c r="P15" s="27" t="s">
        <v>81</v>
      </c>
      <c r="Q15" s="27">
        <f>+IF(P15="","",VLOOKUP(P15,TABLAS!$G$30:$H$33,2,0))</f>
        <v>3</v>
      </c>
      <c r="R15" s="27" t="s">
        <v>88</v>
      </c>
      <c r="S15" s="27">
        <f>+IF(R15="","",VLOOKUP(R15,TABLAS!$I$30:$J$33,2,0))</f>
        <v>2</v>
      </c>
      <c r="T15" s="27">
        <f>IFERROR(K15*25%+M15*10%+O15*25%+Q15*20%+S15*20%,0)</f>
        <v>2.3000000000000003</v>
      </c>
      <c r="U15" s="24">
        <f>+IF(T15&gt;=TABLAS!$A$39,F15-TABLAS!$C$39,F15)</f>
        <v>1</v>
      </c>
      <c r="V15" s="24" t="s">
        <v>52</v>
      </c>
      <c r="W15" s="24" t="str">
        <f>INDEX(TABLAS!$B$14:$F$18,MATCH(U15,TABLAS!$A$14:$A$18,0),MATCH(V15,TABLAS!$B$13:$F$13,0))</f>
        <v>M</v>
      </c>
      <c r="X15" s="26" t="str">
        <f>+VLOOKUP(W15,TABLAS!$A$22:$B$25,2,0)</f>
        <v>Asumir, mitigar el riesgo</v>
      </c>
      <c r="Y15" s="26" t="s">
        <v>103</v>
      </c>
      <c r="Z15" s="26" t="s">
        <v>30</v>
      </c>
      <c r="AA15" s="26" t="s">
        <v>234</v>
      </c>
      <c r="AB15" s="24" t="s">
        <v>36</v>
      </c>
      <c r="AC15" s="24"/>
      <c r="AD15" s="24" t="s">
        <v>36</v>
      </c>
      <c r="AE15" s="24">
        <v>0</v>
      </c>
      <c r="AF15" s="24" t="s">
        <v>36</v>
      </c>
      <c r="AG15" s="24">
        <v>0</v>
      </c>
    </row>
    <row r="16" spans="1:33" ht="46.8" x14ac:dyDescent="0.3">
      <c r="A16" s="43">
        <v>2</v>
      </c>
      <c r="B16" s="26" t="s">
        <v>236</v>
      </c>
      <c r="C16" s="26" t="s">
        <v>235</v>
      </c>
      <c r="D16" s="26" t="s">
        <v>203</v>
      </c>
      <c r="E16" s="26" t="s">
        <v>385</v>
      </c>
      <c r="F16" s="24">
        <v>2</v>
      </c>
      <c r="G16" s="24" t="s">
        <v>52</v>
      </c>
      <c r="H16" s="24" t="str">
        <f>INDEX(TABLAS!$B$14:$F$18,MATCH(F16,TABLAS!$A$14:$A$18,0),MATCH(G16,TABLAS!$B$13:$F$13,0))</f>
        <v>M</v>
      </c>
      <c r="I16" s="26" t="s">
        <v>239</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88</v>
      </c>
      <c r="S16" s="27">
        <f>+IF(R16="","",VLOOKUP(R16,TABLAS!$I$30:$J$33,2,0))</f>
        <v>2</v>
      </c>
      <c r="T16" s="27">
        <f>IFERROR(K16*25%+M16*10%+O16*25%+Q16*20%+S16*20%,0)</f>
        <v>2.3000000000000003</v>
      </c>
      <c r="U16" s="24">
        <f>+IF(T16&gt;=TABLAS!$A$39,F16-TABLAS!$C$39,F16)</f>
        <v>1</v>
      </c>
      <c r="V16" s="24" t="s">
        <v>51</v>
      </c>
      <c r="W16" s="24" t="str">
        <f>INDEX(TABLAS!$B$14:$F$18,MATCH(U16,TABLAS!$A$14:$A$18,0),MATCH(V16,TABLAS!$B$13:$F$13,0))</f>
        <v>B</v>
      </c>
      <c r="X16" s="26" t="str">
        <f>+VLOOKUP(W16,TABLAS!$A$22:$B$25,2,0)</f>
        <v>Asumir y monitoreo</v>
      </c>
      <c r="Y16" s="26" t="s">
        <v>103</v>
      </c>
      <c r="Z16" s="26" t="s">
        <v>144</v>
      </c>
      <c r="AA16" s="26" t="s">
        <v>117</v>
      </c>
      <c r="AB16" s="24" t="s">
        <v>36</v>
      </c>
      <c r="AC16" s="24"/>
      <c r="AD16" s="24" t="s">
        <v>36</v>
      </c>
      <c r="AE16" s="24"/>
      <c r="AF16" s="24" t="s">
        <v>36</v>
      </c>
      <c r="AG16" s="24"/>
    </row>
    <row r="17" spans="1:33" ht="96" customHeight="1" x14ac:dyDescent="0.3">
      <c r="A17" s="43">
        <v>3</v>
      </c>
      <c r="B17" s="26" t="s">
        <v>240</v>
      </c>
      <c r="C17" s="26" t="s">
        <v>241</v>
      </c>
      <c r="D17" s="26" t="s">
        <v>203</v>
      </c>
      <c r="E17" s="26" t="s">
        <v>385</v>
      </c>
      <c r="F17" s="24">
        <v>4</v>
      </c>
      <c r="G17" s="24" t="s">
        <v>51</v>
      </c>
      <c r="H17" s="24" t="str">
        <f>INDEX(TABLAS!$B$14:$F$18,MATCH(F17,TABLAS!$A$14:$A$18,0),MATCH(G17,TABLAS!$B$13:$F$13,0))</f>
        <v>A</v>
      </c>
      <c r="I17" s="26" t="s">
        <v>31</v>
      </c>
      <c r="J17" s="27" t="s">
        <v>69</v>
      </c>
      <c r="K17" s="27">
        <f>IF(J17="","",VLOOKUP(J17,TABLAS!$A$30:$B$32,2,0))</f>
        <v>1</v>
      </c>
      <c r="L17" s="27" t="s">
        <v>72</v>
      </c>
      <c r="M17" s="27">
        <f>IF(L17="","",VLOOKUP(L17,TABLAS!$C$30:$D$33,2,0))</f>
        <v>2</v>
      </c>
      <c r="N17" s="27" t="s">
        <v>79</v>
      </c>
      <c r="O17" s="27">
        <f>+IF(N17="","",VLOOKUP(N17,TABLAS!$E$30:$F$33,2,0))</f>
        <v>0</v>
      </c>
      <c r="P17" s="27" t="s">
        <v>84</v>
      </c>
      <c r="Q17" s="27">
        <f>+IF(P17="","",VLOOKUP(P17,TABLAS!$G$30:$H$33,2,0))</f>
        <v>0</v>
      </c>
      <c r="R17" s="27" t="s">
        <v>88</v>
      </c>
      <c r="S17" s="27">
        <f>+IF(R17="","",VLOOKUP(R17,TABLAS!$I$30:$J$33,2,0))</f>
        <v>2</v>
      </c>
      <c r="T17" s="27">
        <f>IFERROR(K17*25%+M17*10%+O17*25%+Q17*20%+S17*20%,0)</f>
        <v>0.85000000000000009</v>
      </c>
      <c r="U17" s="24">
        <f>+IF(T17&gt;=TABLAS!$A$39,F17-TABLAS!$C$39,F17)</f>
        <v>4</v>
      </c>
      <c r="V17" s="24" t="s">
        <v>52</v>
      </c>
      <c r="W17" s="24" t="str">
        <f>INDEX(TABLAS!$B$14:$F$18,MATCH(U17,TABLAS!$A$14:$A$18,0),MATCH(V17,TABLAS!$B$13:$F$13,0))</f>
        <v>A</v>
      </c>
      <c r="X17" s="26" t="str">
        <f>+VLOOKUP(W17,TABLAS!$A$22:$B$25,2,0)</f>
        <v>Plan de Acción para mitigar, evitar, compartir o transferir el riesgo.</v>
      </c>
      <c r="Y17" s="26" t="s">
        <v>242</v>
      </c>
      <c r="Z17" s="26" t="s">
        <v>143</v>
      </c>
      <c r="AA17" s="29">
        <v>43800</v>
      </c>
      <c r="AB17" s="24" t="s">
        <v>36</v>
      </c>
      <c r="AC17" s="24"/>
      <c r="AD17" s="24" t="s">
        <v>36</v>
      </c>
      <c r="AE17" s="24"/>
      <c r="AF17" s="24" t="s">
        <v>36</v>
      </c>
      <c r="AG17" s="24" t="s">
        <v>480</v>
      </c>
    </row>
    <row r="18" spans="1:33" s="78" customFormat="1" ht="96" customHeight="1" x14ac:dyDescent="0.3">
      <c r="A18" s="50">
        <v>4</v>
      </c>
      <c r="B18" s="26" t="s">
        <v>302</v>
      </c>
      <c r="C18" s="26" t="s">
        <v>245</v>
      </c>
      <c r="D18" s="26" t="s">
        <v>203</v>
      </c>
      <c r="E18" s="26" t="s">
        <v>385</v>
      </c>
      <c r="F18" s="24">
        <v>1</v>
      </c>
      <c r="G18" s="24" t="s">
        <v>52</v>
      </c>
      <c r="H18" s="24" t="str">
        <f>INDEX(TABLAS!$B$14:$F$18,MATCH(F18,TABLAS!$A$14:$A$18,0),MATCH(G18,TABLAS!$B$13:$F$13,0))</f>
        <v>M</v>
      </c>
      <c r="I18" s="26" t="s">
        <v>246</v>
      </c>
      <c r="J18" s="27" t="s">
        <v>69</v>
      </c>
      <c r="K18" s="27">
        <f>IF(J18="","",VLOOKUP(J18,TABLAS!$A$30:$B$32,2,0))</f>
        <v>1</v>
      </c>
      <c r="L18" s="27" t="s">
        <v>72</v>
      </c>
      <c r="M18" s="27">
        <f>IF(L18="","",VLOOKUP(L18,TABLAS!$C$30:$D$33,2,0))</f>
        <v>2</v>
      </c>
      <c r="N18" s="27" t="s">
        <v>77</v>
      </c>
      <c r="O18" s="27">
        <f>+IF(N18="","",VLOOKUP(N18,TABLAS!$E$30:$F$33,2,0))</f>
        <v>2</v>
      </c>
      <c r="P18" s="27" t="s">
        <v>83</v>
      </c>
      <c r="Q18" s="27">
        <f>+IF(P18="","",VLOOKUP(P18,TABLAS!$G$30:$H$33,2,0))</f>
        <v>1</v>
      </c>
      <c r="R18" s="27" t="s">
        <v>88</v>
      </c>
      <c r="S18" s="27">
        <f>+IF(R18="","",VLOOKUP(R18,TABLAS!$I$30:$J$33,2,0))</f>
        <v>2</v>
      </c>
      <c r="T18" s="27">
        <f>IFERROR(K18*25%+M18*10%+O18*25%+Q18*20%+S18*20%,0)</f>
        <v>1.5499999999999998</v>
      </c>
      <c r="U18" s="24">
        <f>+IF(T18&gt;=TABLAS!$A$39,F18-TABLAS!$C$39,F18)</f>
        <v>1</v>
      </c>
      <c r="V18" s="24" t="s">
        <v>52</v>
      </c>
      <c r="W18" s="24" t="str">
        <f>INDEX(TABLAS!$B$14:$F$18,MATCH(U18,TABLAS!$A$14:$A$18,0),MATCH(V18,TABLAS!$B$13:$F$13,0))</f>
        <v>M</v>
      </c>
      <c r="X18" s="26" t="str">
        <f>+VLOOKUP(W18,TABLAS!$A$22:$B$25,2,0)</f>
        <v>Asumir, mitigar el riesgo</v>
      </c>
      <c r="Y18" s="26"/>
      <c r="Z18" s="26" t="s">
        <v>144</v>
      </c>
      <c r="AA18" s="26" t="s">
        <v>247</v>
      </c>
      <c r="AB18" s="24" t="s">
        <v>36</v>
      </c>
      <c r="AC18" s="24"/>
      <c r="AD18" s="24" t="s">
        <v>36</v>
      </c>
      <c r="AE18" s="24">
        <v>0</v>
      </c>
      <c r="AF18" s="24" t="s">
        <v>36</v>
      </c>
      <c r="AG18" s="24">
        <v>0</v>
      </c>
    </row>
    <row r="19" spans="1:33" ht="87" customHeight="1" x14ac:dyDescent="0.3">
      <c r="A19" s="50">
        <v>5</v>
      </c>
      <c r="B19" s="26" t="s">
        <v>184</v>
      </c>
      <c r="C19" s="26" t="s">
        <v>185</v>
      </c>
      <c r="D19" s="26" t="s">
        <v>203</v>
      </c>
      <c r="E19" s="26" t="s">
        <v>381</v>
      </c>
      <c r="F19" s="24">
        <v>4</v>
      </c>
      <c r="G19" s="24" t="s">
        <v>51</v>
      </c>
      <c r="H19" s="24" t="str">
        <f>INDEX(TABLAS!$B$14:$F$18,MATCH(F19,TABLAS!$A$14:$A$18,0),MATCH(G19,TABLAS!$B$13:$F$13,0))</f>
        <v>A</v>
      </c>
      <c r="I19" s="26" t="s">
        <v>127</v>
      </c>
      <c r="J19" s="27" t="s">
        <v>69</v>
      </c>
      <c r="K19" s="27">
        <f>IF(J19="","",VLOOKUP(J19,TABLAS!$A$30:$B$32,2,0))</f>
        <v>1</v>
      </c>
      <c r="L19" s="27" t="s">
        <v>72</v>
      </c>
      <c r="M19" s="27">
        <f>IF(L19="","",VLOOKUP(L19,TABLAS!$C$30:$D$33,2,0))</f>
        <v>2</v>
      </c>
      <c r="N19" s="27" t="s">
        <v>77</v>
      </c>
      <c r="O19" s="27">
        <f>+IF(N19="","",VLOOKUP(N19,TABLAS!$E$30:$F$33,2,0))</f>
        <v>2</v>
      </c>
      <c r="P19" s="27" t="s">
        <v>81</v>
      </c>
      <c r="Q19" s="27">
        <f>+IF(P19="","",VLOOKUP(P19,TABLAS!$G$30:$H$33,2,0))</f>
        <v>3</v>
      </c>
      <c r="R19" s="27" t="s">
        <v>89</v>
      </c>
      <c r="S19" s="27">
        <f>+IF(R19="","",VLOOKUP(R19,TABLAS!$I$30:$J$33,2,0))</f>
        <v>0</v>
      </c>
      <c r="T19" s="27">
        <f>IFERROR(K19*25%+M19*10%+O19*25%+Q19*20%+S19*20%,0)</f>
        <v>1.55</v>
      </c>
      <c r="U19" s="26">
        <f>+IF(T19&gt;=TABLAS!$A$39,F19-TABLAS!$C$39,F19)</f>
        <v>4</v>
      </c>
      <c r="V19" s="24" t="s">
        <v>51</v>
      </c>
      <c r="W19" s="24" t="str">
        <f>INDEX(TABLAS!$B$14:$F$18,MATCH(U19,TABLAS!$A$14:$A$18,0),MATCH(V19,TABLAS!$B$13:$F$13,0))</f>
        <v>A</v>
      </c>
      <c r="X19" s="26" t="str">
        <f>+VLOOKUP(W19,TABLAS!$A$22:$B$25,2,0)</f>
        <v>Plan de Acción para mitigar, evitar, compartir o transferir el riesgo.</v>
      </c>
      <c r="Y19" s="26" t="s">
        <v>128</v>
      </c>
      <c r="Z19" s="26" t="s">
        <v>129</v>
      </c>
      <c r="AA19" s="29">
        <v>43800</v>
      </c>
      <c r="AB19" s="24" t="s">
        <v>36</v>
      </c>
      <c r="AC19" s="24"/>
      <c r="AD19" s="24" t="s">
        <v>36</v>
      </c>
      <c r="AE19" s="24"/>
      <c r="AF19" s="24" t="s">
        <v>36</v>
      </c>
      <c r="AG19" s="177"/>
    </row>
    <row r="21" spans="1:33" ht="23.4" x14ac:dyDescent="0.3">
      <c r="A21" s="201" t="s">
        <v>587</v>
      </c>
      <c r="B21" s="201"/>
      <c r="C21" s="201"/>
      <c r="D21" s="201"/>
      <c r="E21" s="206" t="s">
        <v>592</v>
      </c>
      <c r="F21" s="206"/>
      <c r="G21" s="206"/>
      <c r="H21" s="206"/>
      <c r="I21" s="206"/>
    </row>
    <row r="22" spans="1:33" ht="6.75" customHeight="1" x14ac:dyDescent="0.3">
      <c r="E22" s="145"/>
      <c r="F22" s="145"/>
      <c r="G22" s="145"/>
      <c r="H22" s="145"/>
      <c r="I22" s="145"/>
    </row>
    <row r="23" spans="1:33" ht="23.4" x14ac:dyDescent="0.3">
      <c r="A23" s="201" t="s">
        <v>588</v>
      </c>
      <c r="B23" s="201"/>
      <c r="C23" s="201"/>
      <c r="D23" s="201"/>
      <c r="E23" s="206" t="s">
        <v>589</v>
      </c>
      <c r="F23" s="206"/>
      <c r="G23" s="206"/>
      <c r="H23" s="206"/>
      <c r="I23" s="206"/>
    </row>
  </sheetData>
  <mergeCells count="19">
    <mergeCell ref="A21:D21"/>
    <mergeCell ref="E21:I21"/>
    <mergeCell ref="A23:D23"/>
    <mergeCell ref="E23:I23"/>
    <mergeCell ref="I12:T13"/>
    <mergeCell ref="A12:A14"/>
    <mergeCell ref="F12:H12"/>
    <mergeCell ref="F13:G13"/>
    <mergeCell ref="B12:E13"/>
    <mergeCell ref="X12:AA12"/>
    <mergeCell ref="A10:D10"/>
    <mergeCell ref="E10:G10"/>
    <mergeCell ref="AB12:AG13"/>
    <mergeCell ref="Z13:Z14"/>
    <mergeCell ref="AA13:AA14"/>
    <mergeCell ref="U12:V13"/>
    <mergeCell ref="Y13:Y14"/>
    <mergeCell ref="X13:X14"/>
    <mergeCell ref="W12:W13"/>
  </mergeCells>
  <conditionalFormatting sqref="H15:H18 W15:W18">
    <cfRule type="expression" dxfId="47" priority="13" stopIfTrue="1">
      <formula>H15="E"</formula>
    </cfRule>
    <cfRule type="expression" dxfId="46" priority="14" stopIfTrue="1">
      <formula>H15="M"</formula>
    </cfRule>
    <cfRule type="expression" dxfId="45" priority="15" stopIfTrue="1">
      <formula>H15="B"</formula>
    </cfRule>
    <cfRule type="expression" dxfId="44" priority="16" stopIfTrue="1">
      <formula>H15="A"</formula>
    </cfRule>
  </conditionalFormatting>
  <conditionalFormatting sqref="H19">
    <cfRule type="expression" dxfId="43" priority="5" stopIfTrue="1">
      <formula>H19="E"</formula>
    </cfRule>
    <cfRule type="expression" dxfId="42" priority="6" stopIfTrue="1">
      <formula>H19="M"</formula>
    </cfRule>
    <cfRule type="expression" dxfId="41" priority="7" stopIfTrue="1">
      <formula>H19="B"</formula>
    </cfRule>
    <cfRule type="expression" dxfId="40" priority="8" stopIfTrue="1">
      <formula>H19="A"</formula>
    </cfRule>
  </conditionalFormatting>
  <conditionalFormatting sqref="W19">
    <cfRule type="expression" dxfId="39" priority="1" stopIfTrue="1">
      <formula>W19="E"</formula>
    </cfRule>
    <cfRule type="expression" dxfId="38" priority="2" stopIfTrue="1">
      <formula>W19="M"</formula>
    </cfRule>
    <cfRule type="expression" dxfId="37" priority="3" stopIfTrue="1">
      <formula>W19="B"</formula>
    </cfRule>
    <cfRule type="expression" dxfId="36" priority="4" stopIfTrue="1">
      <formula>W19="A"</formula>
    </cfRule>
  </conditionalFormatting>
  <pageMargins left="0.70866141732283472" right="0.70866141732283472" top="0.74803149606299213" bottom="0.74803149606299213" header="0.31496062992125984" footer="0.31496062992125984"/>
  <pageSetup paperSize="9" scale="64" orientation="landscape" r:id="rId1"/>
  <colBreaks count="1" manualBreakCount="1">
    <brk id="20" max="22"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100-000000000000}">
          <x14:formula1>
            <xm:f>TABLAS!$A$14:$A$18</xm:f>
          </x14:formula1>
          <xm:sqref>F15:F19</xm:sqref>
        </x14:dataValidation>
        <x14:dataValidation type="list" allowBlank="1" showInputMessage="1" showErrorMessage="1" xr:uid="{00000000-0002-0000-1100-000001000000}">
          <x14:formula1>
            <xm:f>TABLAS!$B$13:$F$13</xm:f>
          </x14:formula1>
          <xm:sqref>G15:G19 V15:V19</xm:sqref>
        </x14:dataValidation>
        <x14:dataValidation type="list" allowBlank="1" showInputMessage="1" showErrorMessage="1" xr:uid="{00000000-0002-0000-1100-000002000000}">
          <x14:formula1>
            <xm:f>TABLAS!$I$30:$I$33</xm:f>
          </x14:formula1>
          <xm:sqref>R15:R19</xm:sqref>
        </x14:dataValidation>
        <x14:dataValidation type="list" allowBlank="1" showInputMessage="1" showErrorMessage="1" xr:uid="{00000000-0002-0000-1100-000003000000}">
          <x14:formula1>
            <xm:f>TABLAS!$G$30:$G$33</xm:f>
          </x14:formula1>
          <xm:sqref>P15:P19</xm:sqref>
        </x14:dataValidation>
        <x14:dataValidation type="list" allowBlank="1" showInputMessage="1" showErrorMessage="1" xr:uid="{00000000-0002-0000-1100-000004000000}">
          <x14:formula1>
            <xm:f>TABLAS!$E$30:$E$33</xm:f>
          </x14:formula1>
          <xm:sqref>N15:N19</xm:sqref>
        </x14:dataValidation>
        <x14:dataValidation type="list" allowBlank="1" showInputMessage="1" showErrorMessage="1" xr:uid="{00000000-0002-0000-1100-000005000000}">
          <x14:formula1>
            <xm:f>TABLAS!$C$30:$C$33</xm:f>
          </x14:formula1>
          <xm:sqref>L15:L19</xm:sqref>
        </x14:dataValidation>
        <x14:dataValidation type="list" allowBlank="1" showInputMessage="1" showErrorMessage="1" xr:uid="{00000000-0002-0000-1100-000006000000}">
          <x14:formula1>
            <xm:f>TABLAS!$A$30:$A$32</xm:f>
          </x14:formula1>
          <xm:sqref>J15:J19</xm:sqref>
        </x14:dataValidation>
        <x14:dataValidation type="list" allowBlank="1" showInputMessage="1" showErrorMessage="1" xr:uid="{00000000-0002-0000-1100-000007000000}">
          <x14:formula1>
            <xm:f>TABLAS!$A$44:$A$52</xm:f>
          </x14:formula1>
          <xm:sqref>D15:D19</xm:sqref>
        </x14:dataValidation>
        <x14:dataValidation type="list" allowBlank="1" showInputMessage="1" showErrorMessage="1" xr:uid="{00000000-0002-0000-1100-000008000000}">
          <x14:formula1>
            <xm:f>TABLAS!$B$44:$B$52</xm:f>
          </x14:formula1>
          <xm:sqref>E15:E19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34998626667073579"/>
  </sheetPr>
  <dimension ref="A10:S27"/>
  <sheetViews>
    <sheetView view="pageBreakPreview" topLeftCell="B22" zoomScale="60" zoomScaleNormal="90" workbookViewId="0">
      <selection activeCell="J32" sqref="J32"/>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351</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57.6" x14ac:dyDescent="0.3">
      <c r="A13" s="153" t="s">
        <v>560</v>
      </c>
      <c r="B13" s="126" t="s">
        <v>242</v>
      </c>
      <c r="C13" s="126" t="s">
        <v>468</v>
      </c>
      <c r="D13" s="126" t="s">
        <v>143</v>
      </c>
      <c r="E13" s="139">
        <v>43800</v>
      </c>
      <c r="F13" s="139"/>
      <c r="G13" s="126"/>
      <c r="H13" s="126"/>
      <c r="I13" s="126"/>
    </row>
    <row r="14" spans="1:9" s="89" customFormat="1" ht="43.2" x14ac:dyDescent="0.3">
      <c r="A14" s="153" t="s">
        <v>561</v>
      </c>
      <c r="B14" s="126" t="s">
        <v>128</v>
      </c>
      <c r="C14" s="126" t="s">
        <v>468</v>
      </c>
      <c r="D14" s="126" t="s">
        <v>476</v>
      </c>
      <c r="E14" s="139">
        <v>43800</v>
      </c>
      <c r="F14" s="139"/>
      <c r="G14" s="126"/>
      <c r="H14" s="126"/>
      <c r="I14" s="126"/>
    </row>
    <row r="15" spans="1:9" s="89" customFormat="1" ht="14.4" x14ac:dyDescent="0.3">
      <c r="A15" s="126"/>
      <c r="B15" s="126"/>
      <c r="C15" s="126"/>
      <c r="D15" s="126"/>
      <c r="E15" s="126"/>
      <c r="F15" s="126"/>
      <c r="G15" s="126"/>
      <c r="H15" s="126"/>
      <c r="I15" s="126"/>
    </row>
    <row r="16" spans="1:9" s="89" customFormat="1" ht="14.4" x14ac:dyDescent="0.3">
      <c r="A16" s="90"/>
      <c r="B16" s="90"/>
      <c r="C16" s="90"/>
      <c r="D16" s="90"/>
      <c r="E16" s="90"/>
      <c r="F16" s="90"/>
      <c r="G16" s="90"/>
      <c r="H16" s="90"/>
      <c r="I16" s="90"/>
    </row>
    <row r="17" spans="1:9" s="89" customFormat="1" ht="14.4" x14ac:dyDescent="0.3">
      <c r="A17" s="90"/>
      <c r="B17" s="90"/>
      <c r="C17" s="90"/>
      <c r="D17" s="90"/>
      <c r="E17" s="90"/>
      <c r="F17" s="90"/>
      <c r="G17" s="90"/>
      <c r="H17" s="90"/>
      <c r="I17" s="90"/>
    </row>
    <row r="18" spans="1:9" s="89" customFormat="1" ht="14.4" x14ac:dyDescent="0.3">
      <c r="A18" s="90"/>
      <c r="B18" s="90"/>
      <c r="C18" s="90"/>
      <c r="D18" s="90"/>
      <c r="E18" s="90"/>
      <c r="F18" s="90"/>
      <c r="G18" s="90"/>
      <c r="H18" s="90"/>
      <c r="I18" s="90"/>
    </row>
    <row r="19" spans="1:9" s="89" customFormat="1" ht="14.4" x14ac:dyDescent="0.3">
      <c r="A19" s="90"/>
      <c r="B19" s="90"/>
      <c r="C19" s="90"/>
      <c r="D19" s="90"/>
      <c r="E19" s="90"/>
      <c r="F19" s="90"/>
      <c r="G19" s="90"/>
      <c r="H19" s="90"/>
      <c r="I19" s="90"/>
    </row>
    <row r="20" spans="1:9" s="89" customFormat="1" ht="14.4" x14ac:dyDescent="0.3">
      <c r="A20" s="90"/>
      <c r="B20" s="90"/>
      <c r="C20" s="90"/>
      <c r="D20" s="90"/>
      <c r="E20" s="90"/>
      <c r="F20" s="90"/>
      <c r="G20" s="90"/>
      <c r="H20" s="90"/>
      <c r="I20" s="90"/>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5" spans="1:9" ht="23.4" x14ac:dyDescent="0.3">
      <c r="A25" s="201" t="s">
        <v>590</v>
      </c>
      <c r="B25" s="201"/>
      <c r="C25" s="201"/>
      <c r="D25" s="201"/>
      <c r="E25" s="206" t="s">
        <v>592</v>
      </c>
      <c r="F25" s="206"/>
      <c r="G25" s="206"/>
      <c r="H25" s="206"/>
      <c r="I25" s="206"/>
    </row>
    <row r="26" spans="1:9" ht="6.75" customHeight="1" x14ac:dyDescent="0.3"/>
    <row r="27" spans="1:9" ht="23.4" x14ac:dyDescent="0.3">
      <c r="A27" s="201" t="s">
        <v>591</v>
      </c>
      <c r="B27" s="201"/>
      <c r="C27" s="201"/>
      <c r="D27" s="201"/>
      <c r="E27" s="206" t="s">
        <v>589</v>
      </c>
      <c r="F27" s="206"/>
      <c r="G27" s="206"/>
      <c r="H27" s="206"/>
      <c r="I27" s="206"/>
    </row>
  </sheetData>
  <sheetProtection algorithmName="SHA-512" hashValue="97jc5hbnug0Zs/x2jqG5QD8DKsyB3a/WHngTiuNwVCubeynAB8z15gXZNwskfSKcL463T1I26Zh3HYBPkzrf7w==" saltValue="fnnL74zCKQz7wXMXkN7BCg==" spinCount="100000" sheet="1" objects="1" scenarios="1"/>
  <mergeCells count="6">
    <mergeCell ref="A10:D10"/>
    <mergeCell ref="E10:G10"/>
    <mergeCell ref="A25:D25"/>
    <mergeCell ref="E25:I25"/>
    <mergeCell ref="A27:D27"/>
    <mergeCell ref="E27:I27"/>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0:AG20"/>
  <sheetViews>
    <sheetView view="pageBreakPreview" topLeftCell="V13" zoomScale="60" zoomScaleNormal="90" workbookViewId="0">
      <selection activeCell="AI15" sqref="AI15"/>
    </sheetView>
  </sheetViews>
  <sheetFormatPr baseColWidth="10" defaultColWidth="11.44140625" defaultRowHeight="15.6" x14ac:dyDescent="0.3"/>
  <cols>
    <col min="1" max="1" width="11.44140625" style="25"/>
    <col min="2" max="5" width="15.5546875" style="25" customWidth="1"/>
    <col min="6" max="6" width="16" style="25" customWidth="1"/>
    <col min="7" max="7" width="16.88671875" style="25" customWidth="1"/>
    <col min="8" max="8" width="13.33203125" style="25" customWidth="1"/>
    <col min="9" max="9" width="30" style="25" customWidth="1"/>
    <col min="10" max="10" width="18.44140625" style="25" customWidth="1"/>
    <col min="11" max="11" width="18.44140625" style="25" hidden="1" customWidth="1"/>
    <col min="12" max="12" width="18.44140625" style="25" customWidth="1"/>
    <col min="13" max="13" width="18.44140625" style="25" hidden="1" customWidth="1"/>
    <col min="14" max="14" width="18.44140625" style="25" customWidth="1"/>
    <col min="15" max="15" width="18.44140625" style="25" hidden="1" customWidth="1"/>
    <col min="16" max="16" width="18.44140625" style="25" customWidth="1"/>
    <col min="17" max="17" width="18.44140625" style="25" hidden="1" customWidth="1"/>
    <col min="18" max="18" width="18.44140625" style="25" customWidth="1"/>
    <col min="19" max="19" width="18.44140625" style="25" hidden="1" customWidth="1"/>
    <col min="20" max="20" width="18.44140625" style="25" customWidth="1"/>
    <col min="21" max="21" width="11.44140625" style="25"/>
    <col min="22" max="22" width="15.33203125" style="25" customWidth="1"/>
    <col min="23" max="23" width="20.44140625" style="25" customWidth="1"/>
    <col min="24" max="24" width="22.88671875" style="25" customWidth="1"/>
    <col min="25" max="25" width="31.6640625" style="25" customWidth="1"/>
    <col min="26" max="26" width="16.6640625" style="25" customWidth="1"/>
    <col min="27" max="27" width="17.5546875" style="25" customWidth="1"/>
    <col min="28" max="33" width="11.44140625" style="25" customWidth="1"/>
    <col min="34" max="16384" width="11.44140625" style="25"/>
  </cols>
  <sheetData>
    <row r="10" spans="1:33" ht="23.4" x14ac:dyDescent="0.3">
      <c r="A10" s="201" t="s">
        <v>343</v>
      </c>
      <c r="B10" s="201"/>
      <c r="C10" s="201"/>
      <c r="D10" s="201"/>
      <c r="E10" s="202" t="s">
        <v>345</v>
      </c>
      <c r="F10" s="202"/>
      <c r="G10" s="202"/>
    </row>
    <row r="12" spans="1:33"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ht="32.25" customHeight="1" x14ac:dyDescent="0.3">
      <c r="A13" s="209"/>
      <c r="B13" s="204"/>
      <c r="C13" s="205"/>
      <c r="D13" s="205"/>
      <c r="E13" s="205"/>
      <c r="F13" s="185" t="s">
        <v>110</v>
      </c>
      <c r="G13" s="185"/>
      <c r="H13" s="46"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ht="72.75" customHeight="1" x14ac:dyDescent="0.3">
      <c r="A14" s="210"/>
      <c r="B14" s="57" t="s">
        <v>178</v>
      </c>
      <c r="C14" s="57" t="s">
        <v>172</v>
      </c>
      <c r="D14" s="28" t="s">
        <v>373</v>
      </c>
      <c r="E14" s="28" t="s">
        <v>372</v>
      </c>
      <c r="F14" s="46" t="s">
        <v>2</v>
      </c>
      <c r="G14" s="46" t="s">
        <v>3</v>
      </c>
      <c r="H14" s="46" t="s">
        <v>4</v>
      </c>
      <c r="I14" s="46" t="s">
        <v>5</v>
      </c>
      <c r="J14" s="46" t="s">
        <v>66</v>
      </c>
      <c r="K14" s="46" t="s">
        <v>90</v>
      </c>
      <c r="L14" s="46" t="s">
        <v>91</v>
      </c>
      <c r="M14" s="46" t="s">
        <v>90</v>
      </c>
      <c r="N14" s="46" t="s">
        <v>92</v>
      </c>
      <c r="O14" s="46" t="s">
        <v>90</v>
      </c>
      <c r="P14" s="46" t="s">
        <v>93</v>
      </c>
      <c r="Q14" s="46" t="s">
        <v>90</v>
      </c>
      <c r="R14" s="46" t="s">
        <v>94</v>
      </c>
      <c r="S14" s="46" t="s">
        <v>90</v>
      </c>
      <c r="T14" s="46" t="s">
        <v>110</v>
      </c>
      <c r="U14" s="28" t="s">
        <v>6</v>
      </c>
      <c r="V14" s="28" t="s">
        <v>7</v>
      </c>
      <c r="W14" s="28" t="s">
        <v>15</v>
      </c>
      <c r="X14" s="185"/>
      <c r="Y14" s="185"/>
      <c r="Z14" s="185"/>
      <c r="AA14" s="185"/>
      <c r="AB14" s="41" t="s">
        <v>10</v>
      </c>
      <c r="AC14" s="41" t="s">
        <v>11</v>
      </c>
      <c r="AD14" s="41" t="s">
        <v>12</v>
      </c>
      <c r="AE14" s="41" t="s">
        <v>11</v>
      </c>
      <c r="AF14" s="41" t="s">
        <v>13</v>
      </c>
      <c r="AG14" s="41" t="s">
        <v>11</v>
      </c>
    </row>
    <row r="15" spans="1:33" ht="234" x14ac:dyDescent="0.3">
      <c r="A15" s="52" t="s">
        <v>165</v>
      </c>
      <c r="B15" s="157" t="s">
        <v>594</v>
      </c>
      <c r="C15" s="157" t="s">
        <v>593</v>
      </c>
      <c r="D15" s="26" t="s">
        <v>375</v>
      </c>
      <c r="E15" s="26" t="s">
        <v>383</v>
      </c>
      <c r="F15" s="24">
        <v>4</v>
      </c>
      <c r="G15" s="24" t="s">
        <v>54</v>
      </c>
      <c r="H15" s="24" t="str">
        <f>INDEX(TABLAS!$B$14:$F$18,MATCH(F15,TABLAS!$A$14:$A$18,0),MATCH(G15,TABLAS!$B$13:$F$13,0))</f>
        <v>E</v>
      </c>
      <c r="I15" s="54" t="s">
        <v>340</v>
      </c>
      <c r="J15" s="27" t="s">
        <v>69</v>
      </c>
      <c r="K15" s="27">
        <f>IF(J15="","",VLOOKUP(J15,TABLAS!$A$30:$B$32,2,0))</f>
        <v>1</v>
      </c>
      <c r="L15" s="27" t="s">
        <v>72</v>
      </c>
      <c r="M15" s="27">
        <f>IF(L15="","",VLOOKUP(L15,TABLAS!$C$30:$D$33,2,0))</f>
        <v>2</v>
      </c>
      <c r="N15" s="27" t="s">
        <v>76</v>
      </c>
      <c r="O15" s="27">
        <f>+IF(N15="","",VLOOKUP(N15,TABLAS!$E$30:$F$33,2,0))</f>
        <v>3</v>
      </c>
      <c r="P15" s="27" t="s">
        <v>82</v>
      </c>
      <c r="Q15" s="27">
        <f>+IF(P15="","",VLOOKUP(P15,TABLAS!$G$30:$H$33,2,0))</f>
        <v>2</v>
      </c>
      <c r="R15" s="27" t="s">
        <v>87</v>
      </c>
      <c r="S15" s="27">
        <f>+IF(R15="","",VLOOKUP(R15,TABLAS!$I$30:$J$33,2,0))</f>
        <v>3</v>
      </c>
      <c r="T15" s="27">
        <f>IFERROR(K15*25%+M15*10%+O15*25%+Q15*20%+S15*20%,0)</f>
        <v>2.2000000000000002</v>
      </c>
      <c r="U15" s="24">
        <f>+IF(T15&gt;=TABLAS!$A$39,F15-TABLAS!$C$39,F15)</f>
        <v>3</v>
      </c>
      <c r="V15" s="24" t="s">
        <v>52</v>
      </c>
      <c r="W15" s="24" t="str">
        <f>INDEX(TABLAS!$B$14:$F$18,MATCH(U15,TABLAS!$A$14:$A$18,0),MATCH(V15,TABLAS!$B$13:$F$13,0))</f>
        <v>A</v>
      </c>
      <c r="X15" s="26" t="str">
        <f>+VLOOKUP(W15,TABLAS!$A$22:$B$25,2,0)</f>
        <v>Plan de Acción para mitigar, evitar, compartir o transferir el riesgo.</v>
      </c>
      <c r="Y15" s="26" t="s">
        <v>341</v>
      </c>
      <c r="Z15" s="26" t="s">
        <v>342</v>
      </c>
      <c r="AA15" s="26" t="s">
        <v>132</v>
      </c>
      <c r="AB15" s="24" t="s">
        <v>36</v>
      </c>
      <c r="AC15" s="92" t="s">
        <v>602</v>
      </c>
      <c r="AD15" s="25" t="s">
        <v>36</v>
      </c>
      <c r="AE15" s="92" t="s">
        <v>640</v>
      </c>
      <c r="AF15" s="24" t="s">
        <v>36</v>
      </c>
      <c r="AG15" s="92" t="s">
        <v>642</v>
      </c>
    </row>
    <row r="16" spans="1:33" ht="150.75" customHeight="1" x14ac:dyDescent="0.3">
      <c r="A16" s="59" t="s">
        <v>166</v>
      </c>
      <c r="B16" s="26" t="s">
        <v>311</v>
      </c>
      <c r="C16" s="26" t="s">
        <v>330</v>
      </c>
      <c r="D16" s="26" t="s">
        <v>203</v>
      </c>
      <c r="E16" s="26" t="s">
        <v>385</v>
      </c>
      <c r="F16" s="24">
        <v>2</v>
      </c>
      <c r="G16" s="24" t="s">
        <v>52</v>
      </c>
      <c r="H16" s="24" t="str">
        <f>INDEX(TABLAS!$B$14:$F$18,MATCH(F16,TABLAS!$A$14:$A$18,0),MATCH(G16,TABLAS!$B$13:$F$13,0))</f>
        <v>M</v>
      </c>
      <c r="I16" s="49" t="s">
        <v>312</v>
      </c>
      <c r="J16" s="27" t="s">
        <v>69</v>
      </c>
      <c r="K16" s="27">
        <f>IF(J16="","",VLOOKUP(J16,TABLAS!$A$30:$B$32,2,0))</f>
        <v>1</v>
      </c>
      <c r="L16" s="27" t="s">
        <v>72</v>
      </c>
      <c r="M16" s="27">
        <f>IF(L16="","",VLOOKUP(L16,TABLAS!$C$30:$D$33,2,0))</f>
        <v>2</v>
      </c>
      <c r="N16" s="27" t="s">
        <v>76</v>
      </c>
      <c r="O16" s="27">
        <f>+IF(N16="","",VLOOKUP(N16,TABLAS!$E$30:$F$33,2,0))</f>
        <v>3</v>
      </c>
      <c r="P16" s="27" t="s">
        <v>81</v>
      </c>
      <c r="Q16" s="27">
        <f>+IF(P16="","",VLOOKUP(P16,TABLAS!$G$30:$H$33,2,0))</f>
        <v>3</v>
      </c>
      <c r="R16" s="27" t="s">
        <v>86</v>
      </c>
      <c r="S16" s="27">
        <f>+IF(R16="","",VLOOKUP(R16,TABLAS!$I$30:$J$33,2,0))</f>
        <v>3</v>
      </c>
      <c r="T16" s="27">
        <f>IFERROR(K16*25%+M16*10%+O16*25%+Q16*20%+S16*20%,0)</f>
        <v>2.4000000000000004</v>
      </c>
      <c r="U16" s="24">
        <f>+IF(T16&gt;=TABLAS!$A$39,F16-TABLAS!$C$39,F16)</f>
        <v>1</v>
      </c>
      <c r="V16" s="24" t="s">
        <v>51</v>
      </c>
      <c r="W16" s="24" t="str">
        <f>INDEX(TABLAS!$B$14:$F$18,MATCH(U16,TABLAS!$A$14:$A$18,0),MATCH(V16,TABLAS!$B$13:$F$13,0))</f>
        <v>B</v>
      </c>
      <c r="X16" s="26" t="str">
        <f>+VLOOKUP(W16,TABLAS!$A$22:$B$25,2,0)</f>
        <v>Asumir y monitoreo</v>
      </c>
      <c r="Y16" s="48" t="s">
        <v>207</v>
      </c>
      <c r="Z16" s="26" t="s">
        <v>25</v>
      </c>
      <c r="AA16" s="26" t="s">
        <v>132</v>
      </c>
      <c r="AB16" s="24" t="s">
        <v>36</v>
      </c>
      <c r="AC16" s="92" t="s">
        <v>603</v>
      </c>
      <c r="AD16" s="24" t="s">
        <v>36</v>
      </c>
      <c r="AE16" s="24"/>
      <c r="AF16" s="24" t="s">
        <v>36</v>
      </c>
      <c r="AG16" s="92" t="s">
        <v>641</v>
      </c>
    </row>
    <row r="18" spans="1:9" ht="23.4" x14ac:dyDescent="0.3">
      <c r="A18" s="201" t="s">
        <v>587</v>
      </c>
      <c r="B18" s="201"/>
      <c r="C18" s="201"/>
      <c r="D18" s="201"/>
      <c r="E18" s="206" t="s">
        <v>337</v>
      </c>
      <c r="F18" s="206"/>
      <c r="G18" s="206"/>
      <c r="H18" s="206"/>
      <c r="I18" s="206"/>
    </row>
    <row r="19" spans="1:9" ht="6.75" customHeight="1" x14ac:dyDescent="0.3"/>
    <row r="20" spans="1:9" ht="23.4" x14ac:dyDescent="0.3">
      <c r="A20" s="201" t="s">
        <v>588</v>
      </c>
      <c r="B20" s="201"/>
      <c r="C20" s="201"/>
      <c r="D20" s="201"/>
      <c r="E20" s="206" t="s">
        <v>589</v>
      </c>
      <c r="F20" s="206"/>
      <c r="G20" s="206"/>
      <c r="H20" s="206"/>
      <c r="I20" s="206"/>
    </row>
  </sheetData>
  <sheetProtection algorithmName="SHA-512" hashValue="5lJ2DIknIoqsHqWSQzOtiNksOi6nLhZJDXFCcOjW5f7pvra4Ih2kXDnhpYoZfk/qiBA/cwY68rH6wkaKDWFo6w==" saltValue="bHUjXsVwYvWVF1oH2wSVnQ==" spinCount="100000" sheet="1" objects="1" scenarios="1"/>
  <mergeCells count="19">
    <mergeCell ref="A18:D18"/>
    <mergeCell ref="E18:I18"/>
    <mergeCell ref="A20:D20"/>
    <mergeCell ref="E20:I20"/>
    <mergeCell ref="F12:H12"/>
    <mergeCell ref="A12:A14"/>
    <mergeCell ref="F13:G13"/>
    <mergeCell ref="A10:D10"/>
    <mergeCell ref="E10:G10"/>
    <mergeCell ref="X13:X14"/>
    <mergeCell ref="Y13:Y14"/>
    <mergeCell ref="Z13:Z14"/>
    <mergeCell ref="B12:E13"/>
    <mergeCell ref="AB12:AG13"/>
    <mergeCell ref="AA13:AA14"/>
    <mergeCell ref="I12:T13"/>
    <mergeCell ref="U12:V13"/>
    <mergeCell ref="W12:W13"/>
    <mergeCell ref="X12:AA12"/>
  </mergeCells>
  <conditionalFormatting sqref="H15:H16 W15:W16">
    <cfRule type="expression" dxfId="103" priority="5" stopIfTrue="1">
      <formula>H15="E"</formula>
    </cfRule>
    <cfRule type="expression" dxfId="102" priority="6" stopIfTrue="1">
      <formula>H15="M"</formula>
    </cfRule>
    <cfRule type="expression" dxfId="101" priority="7" stopIfTrue="1">
      <formula>H15="B"</formula>
    </cfRule>
    <cfRule type="expression" dxfId="100" priority="8" stopIfTrue="1">
      <formula>H15="A"</formula>
    </cfRule>
  </conditionalFormatting>
  <pageMargins left="0.70866141732283472" right="0.70866141732283472" top="0.74803149606299213" bottom="0.74803149606299213" header="0.31496062992125984" footer="0.31496062992125984"/>
  <pageSetup paperSize="9" scale="45" orientation="landscape" r:id="rId1"/>
  <colBreaks count="1" manualBreakCount="1">
    <brk id="13" max="19"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TABLAS!$A$14:$A$18</xm:f>
          </x14:formula1>
          <xm:sqref>F15:F16</xm:sqref>
        </x14:dataValidation>
        <x14:dataValidation type="list" allowBlank="1" showInputMessage="1" showErrorMessage="1" xr:uid="{00000000-0002-0000-0100-000001000000}">
          <x14:formula1>
            <xm:f>TABLAS!$B$13:$F$13</xm:f>
          </x14:formula1>
          <xm:sqref>V15:V16 G15:G16</xm:sqref>
        </x14:dataValidation>
        <x14:dataValidation type="list" allowBlank="1" showInputMessage="1" showErrorMessage="1" xr:uid="{00000000-0002-0000-0100-000002000000}">
          <x14:formula1>
            <xm:f>TABLAS!$A$30:$A$32</xm:f>
          </x14:formula1>
          <xm:sqref>J15:J16</xm:sqref>
        </x14:dataValidation>
        <x14:dataValidation type="list" allowBlank="1" showInputMessage="1" showErrorMessage="1" xr:uid="{00000000-0002-0000-0100-000003000000}">
          <x14:formula1>
            <xm:f>TABLAS!$C$30:$C$33</xm:f>
          </x14:formula1>
          <xm:sqref>L15:L16</xm:sqref>
        </x14:dataValidation>
        <x14:dataValidation type="list" allowBlank="1" showInputMessage="1" showErrorMessage="1" xr:uid="{00000000-0002-0000-0100-000004000000}">
          <x14:formula1>
            <xm:f>TABLAS!$E$30:$E$33</xm:f>
          </x14:formula1>
          <xm:sqref>N15:N16</xm:sqref>
        </x14:dataValidation>
        <x14:dataValidation type="list" allowBlank="1" showInputMessage="1" showErrorMessage="1" xr:uid="{00000000-0002-0000-0100-000005000000}">
          <x14:formula1>
            <xm:f>TABLAS!$G$30:$G$33</xm:f>
          </x14:formula1>
          <xm:sqref>P15:P16</xm:sqref>
        </x14:dataValidation>
        <x14:dataValidation type="list" allowBlank="1" showInputMessage="1" showErrorMessage="1" xr:uid="{00000000-0002-0000-0100-000006000000}">
          <x14:formula1>
            <xm:f>TABLAS!$I$30:$I$33</xm:f>
          </x14:formula1>
          <xm:sqref>R15:R16</xm:sqref>
        </x14:dataValidation>
        <x14:dataValidation type="list" allowBlank="1" showInputMessage="1" showErrorMessage="1" xr:uid="{00000000-0002-0000-0100-000007000000}">
          <x14:formula1>
            <xm:f>TABLAS!$B$44:$B$52</xm:f>
          </x14:formula1>
          <xm:sqref>E15:E16</xm:sqref>
        </x14:dataValidation>
        <x14:dataValidation type="list" allowBlank="1" showInputMessage="1" showErrorMessage="1" xr:uid="{00000000-0002-0000-0100-000008000000}">
          <x14:formula1>
            <xm:f>TABLAS!$A$44:$A$52</xm:f>
          </x14:formula1>
          <xm:sqref>D15:D16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AG30"/>
  <sheetViews>
    <sheetView view="pageBreakPreview" topLeftCell="T20" zoomScale="60" zoomScaleNormal="70" workbookViewId="0">
      <selection activeCell="AG21" sqref="AG21"/>
    </sheetView>
  </sheetViews>
  <sheetFormatPr baseColWidth="10" defaultColWidth="11.44140625" defaultRowHeight="15.6" x14ac:dyDescent="0.3"/>
  <cols>
    <col min="1" max="1" width="6.88671875" style="30" customWidth="1"/>
    <col min="2" max="2" width="15.44140625" style="30" customWidth="1"/>
    <col min="3" max="3" width="17.33203125" style="30" customWidth="1"/>
    <col min="4" max="4" width="12" style="30" customWidth="1"/>
    <col min="5" max="5" width="12.5546875" style="30" customWidth="1"/>
    <col min="6" max="6" width="15.44140625" style="30" customWidth="1"/>
    <col min="7" max="7" width="11.88671875" style="30" customWidth="1"/>
    <col min="8" max="8" width="8.5546875" style="30" customWidth="1"/>
    <col min="9" max="9" width="22.44140625" style="30" customWidth="1"/>
    <col min="10" max="10" width="13.44140625" style="30" customWidth="1"/>
    <col min="11" max="11" width="17.44140625" style="30" hidden="1" customWidth="1"/>
    <col min="12" max="12" width="11.33203125" style="30" customWidth="1"/>
    <col min="13" max="13" width="14.5546875" style="30" hidden="1" customWidth="1"/>
    <col min="14" max="14" width="15.44140625" style="30" customWidth="1"/>
    <col min="15" max="15" width="0.33203125" style="30" hidden="1" customWidth="1"/>
    <col min="16" max="16" width="11.109375" style="30" customWidth="1"/>
    <col min="17" max="17" width="15.6640625" style="30" hidden="1" customWidth="1"/>
    <col min="18" max="18" width="12.109375" style="30" customWidth="1"/>
    <col min="19" max="19" width="15.6640625" style="30" hidden="1" customWidth="1"/>
    <col min="20" max="20" width="14.33203125" style="30" customWidth="1"/>
    <col min="21" max="21" width="15.44140625" style="30" customWidth="1"/>
    <col min="22" max="22" width="11.5546875" style="30" customWidth="1"/>
    <col min="23" max="23" width="13.5546875" style="30" customWidth="1"/>
    <col min="24" max="24" width="13.109375" style="30" customWidth="1"/>
    <col min="25" max="25" width="16.88671875" style="30" customWidth="1"/>
    <col min="26" max="26" width="18.88671875" style="30" customWidth="1"/>
    <col min="27" max="27" width="22.33203125" style="30" customWidth="1"/>
    <col min="28" max="28" width="10.6640625" style="30" customWidth="1"/>
    <col min="29" max="29" width="12.5546875" style="30" customWidth="1"/>
    <col min="30" max="30" width="15" style="30" customWidth="1"/>
    <col min="31" max="31" width="14.44140625" style="30" customWidth="1"/>
    <col min="32" max="32" width="12.88671875" style="30" customWidth="1"/>
    <col min="33" max="33" width="12.33203125" style="30" customWidth="1"/>
    <col min="34" max="16384" width="11.44140625" style="30"/>
  </cols>
  <sheetData>
    <row r="1" spans="1:33" s="25" customFormat="1" x14ac:dyDescent="0.3"/>
    <row r="2" spans="1:33" s="25" customFormat="1" x14ac:dyDescent="0.3"/>
    <row r="3" spans="1:33" s="25" customFormat="1" x14ac:dyDescent="0.3"/>
    <row r="4" spans="1:33" s="25" customFormat="1" x14ac:dyDescent="0.3"/>
    <row r="5" spans="1:33" s="25" customFormat="1" x14ac:dyDescent="0.3"/>
    <row r="6" spans="1:33" s="25" customFormat="1" x14ac:dyDescent="0.3"/>
    <row r="7" spans="1:33" s="25" customFormat="1" x14ac:dyDescent="0.3"/>
    <row r="8" spans="1:33" s="25" customFormat="1" x14ac:dyDescent="0.3"/>
    <row r="9" spans="1:33" s="25" customFormat="1" x14ac:dyDescent="0.3"/>
    <row r="10" spans="1:33" s="25" customFormat="1" ht="23.4" x14ac:dyDescent="0.3">
      <c r="A10" s="201" t="s">
        <v>343</v>
      </c>
      <c r="B10" s="201"/>
      <c r="C10" s="201"/>
      <c r="D10" s="201"/>
      <c r="E10" s="202" t="s">
        <v>352</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142.5" customHeight="1" x14ac:dyDescent="0.3">
      <c r="A15" s="45" t="s">
        <v>165</v>
      </c>
      <c r="B15" s="33" t="s">
        <v>275</v>
      </c>
      <c r="C15" s="31" t="s">
        <v>276</v>
      </c>
      <c r="D15" s="92" t="s">
        <v>203</v>
      </c>
      <c r="E15" s="92" t="s">
        <v>385</v>
      </c>
      <c r="F15" s="92">
        <v>2</v>
      </c>
      <c r="G15" s="92" t="s">
        <v>52</v>
      </c>
      <c r="H15" s="92" t="str">
        <f>INDEX(TABLAS!$B$14:$F$18,MATCH(F15,TABLAS!$A$14:$A$18,0),MATCH(G15,TABLAS!$B$13:$F$13,0))</f>
        <v>M</v>
      </c>
      <c r="I15" s="92" t="s">
        <v>130</v>
      </c>
      <c r="J15" s="27" t="s">
        <v>69</v>
      </c>
      <c r="K15" s="27">
        <f>IF(J15="","",VLOOKUP(J15,TABLAS!$A$30:$B$32,2,0))</f>
        <v>1</v>
      </c>
      <c r="L15" s="27" t="s">
        <v>72</v>
      </c>
      <c r="M15" s="27">
        <f>IF(L15="","",VLOOKUP(L15,TABLAS!$C$30:$D$33,2,0))</f>
        <v>2</v>
      </c>
      <c r="N15" s="27" t="s">
        <v>79</v>
      </c>
      <c r="O15" s="27">
        <f>+IF(N15="","",VLOOKUP(N15,TABLAS!$E$30:$F$33,2,0))</f>
        <v>0</v>
      </c>
      <c r="P15" s="27" t="s">
        <v>83</v>
      </c>
      <c r="Q15" s="27">
        <f>+IF(P15="","",VLOOKUP(P15,TABLAS!$G$30:$H$33,2,0))</f>
        <v>1</v>
      </c>
      <c r="R15" s="27" t="s">
        <v>88</v>
      </c>
      <c r="S15" s="27">
        <f>+IF(R15="","",VLOOKUP(R15,TABLAS!$I$30:$J$33,2,0))</f>
        <v>2</v>
      </c>
      <c r="T15" s="27">
        <f>IFERROR(K15*25%+M15*10%+O15*25%+Q15*20%+S15*20%,0)</f>
        <v>1.05</v>
      </c>
      <c r="U15" s="92">
        <f>+IF(T15&gt;=TABLAS!$A$39,F15-TABLAS!$C$39,F15)</f>
        <v>2</v>
      </c>
      <c r="V15" s="92" t="s">
        <v>52</v>
      </c>
      <c r="W15" s="92" t="str">
        <f>INDEX(TABLAS!$B$14:$F$18,MATCH(U15,TABLAS!$A$14:$A$18,0),MATCH(V15,TABLAS!$B$13:$F$13,0))</f>
        <v>M</v>
      </c>
      <c r="X15" s="92" t="str">
        <f>+VLOOKUP(W15,TABLAS!$A$22:$B$25,2,0)</f>
        <v>Asumir, mitigar el riesgo</v>
      </c>
      <c r="Y15" s="92" t="s">
        <v>277</v>
      </c>
      <c r="Z15" s="92" t="s">
        <v>114</v>
      </c>
      <c r="AA15" s="29">
        <v>43800</v>
      </c>
      <c r="AB15" s="34" t="s">
        <v>36</v>
      </c>
      <c r="AC15" s="32"/>
      <c r="AD15" s="167"/>
      <c r="AE15" s="32"/>
      <c r="AF15" s="34" t="s">
        <v>660</v>
      </c>
      <c r="AG15" s="31" t="s">
        <v>480</v>
      </c>
    </row>
    <row r="16" spans="1:33" ht="79.5" customHeight="1" x14ac:dyDescent="0.3">
      <c r="A16" s="45" t="s">
        <v>166</v>
      </c>
      <c r="B16" s="33" t="s">
        <v>278</v>
      </c>
      <c r="C16" s="33" t="s">
        <v>279</v>
      </c>
      <c r="D16" s="92" t="s">
        <v>203</v>
      </c>
      <c r="E16" s="92" t="s">
        <v>385</v>
      </c>
      <c r="F16" s="92">
        <v>2</v>
      </c>
      <c r="G16" s="92" t="s">
        <v>53</v>
      </c>
      <c r="H16" s="92" t="str">
        <f>INDEX(TABLAS!$B$14:$F$18,MATCH(F16,TABLAS!$A$14:$A$18,0),MATCH(G16,TABLAS!$B$13:$F$13,0))</f>
        <v>A</v>
      </c>
      <c r="I16" s="92" t="s">
        <v>19</v>
      </c>
      <c r="J16" s="27" t="s">
        <v>69</v>
      </c>
      <c r="K16" s="27">
        <f>IF(J16="","",VLOOKUP(J16,TABLAS!$A$30:$B$32,2,0))</f>
        <v>1</v>
      </c>
      <c r="L16" s="27" t="s">
        <v>65</v>
      </c>
      <c r="M16" s="27">
        <f>IF(L16="","",VLOOKUP(L16,TABLAS!$C$30:$D$33,2,0))</f>
        <v>3</v>
      </c>
      <c r="N16" s="27" t="s">
        <v>77</v>
      </c>
      <c r="O16" s="27">
        <f>+IF(N16="","",VLOOKUP(N16,TABLAS!$E$30:$F$33,2,0))</f>
        <v>2</v>
      </c>
      <c r="P16" s="27" t="s">
        <v>82</v>
      </c>
      <c r="Q16" s="27">
        <f>+IF(P16="","",VLOOKUP(P16,TABLAS!$G$30:$H$33,2,0))</f>
        <v>2</v>
      </c>
      <c r="R16" s="27" t="s">
        <v>88</v>
      </c>
      <c r="S16" s="27">
        <f>+IF(R16="","",VLOOKUP(R16,TABLAS!$I$30:$J$33,2,0))</f>
        <v>2</v>
      </c>
      <c r="T16" s="27">
        <f t="shared" ref="T16:T25" si="0">IFERROR(K16*25%+M16*10%+O16*25%+Q16*20%+S16*20%,0)</f>
        <v>1.85</v>
      </c>
      <c r="U16" s="92">
        <f>+IF(T16&gt;=TABLAS!$A$39,F16-TABLAS!$C$39,F16)</f>
        <v>2</v>
      </c>
      <c r="V16" s="92" t="s">
        <v>51</v>
      </c>
      <c r="W16" s="92" t="str">
        <f>INDEX(TABLAS!$B$14:$F$18,MATCH(U16,TABLAS!$A$14:$A$18,0),MATCH(V16,TABLAS!$B$13:$F$13,0))</f>
        <v>B</v>
      </c>
      <c r="X16" s="92" t="str">
        <f>+VLOOKUP(W16,TABLAS!$A$22:$B$25,2,0)</f>
        <v>Asumir y monitoreo</v>
      </c>
      <c r="Y16" s="92" t="s">
        <v>103</v>
      </c>
      <c r="Z16" s="92" t="s">
        <v>113</v>
      </c>
      <c r="AA16" s="31" t="s">
        <v>20</v>
      </c>
      <c r="AB16" s="34" t="s">
        <v>36</v>
      </c>
      <c r="AC16" s="32"/>
      <c r="AD16" s="167"/>
      <c r="AE16" s="32"/>
      <c r="AF16" s="34" t="s">
        <v>36</v>
      </c>
      <c r="AG16" s="24">
        <v>0</v>
      </c>
    </row>
    <row r="17" spans="1:33" ht="174.75" customHeight="1" x14ac:dyDescent="0.3">
      <c r="A17" s="45" t="s">
        <v>167</v>
      </c>
      <c r="B17" s="33" t="s">
        <v>280</v>
      </c>
      <c r="C17" s="33" t="s">
        <v>281</v>
      </c>
      <c r="D17" s="92" t="s">
        <v>203</v>
      </c>
      <c r="E17" s="92" t="s">
        <v>385</v>
      </c>
      <c r="F17" s="92">
        <v>2</v>
      </c>
      <c r="G17" s="92" t="s">
        <v>52</v>
      </c>
      <c r="H17" s="92" t="str">
        <f>INDEX(TABLAS!$B$14:$F$18,MATCH(F17,TABLAS!$A$14:$A$18,0),MATCH(G17,TABLAS!$B$13:$F$13,0))</f>
        <v>M</v>
      </c>
      <c r="I17" s="92" t="s">
        <v>467</v>
      </c>
      <c r="J17" s="27" t="s">
        <v>69</v>
      </c>
      <c r="K17" s="27">
        <f>IF(J17="","",VLOOKUP(J17,TABLAS!$A$30:$B$32,2,0))</f>
        <v>1</v>
      </c>
      <c r="L17" s="27" t="s">
        <v>65</v>
      </c>
      <c r="M17" s="27">
        <f>IF(L17="","",VLOOKUP(L17,TABLAS!$C$30:$D$33,2,0))</f>
        <v>3</v>
      </c>
      <c r="N17" s="27" t="s">
        <v>77</v>
      </c>
      <c r="O17" s="27">
        <f>+IF(N17="","",VLOOKUP(N17,TABLAS!$E$30:$F$33,2,0))</f>
        <v>2</v>
      </c>
      <c r="P17" s="27" t="s">
        <v>83</v>
      </c>
      <c r="Q17" s="27">
        <f>+IF(P17="","",VLOOKUP(P17,TABLAS!$G$30:$H$33,2,0))</f>
        <v>1</v>
      </c>
      <c r="R17" s="27" t="s">
        <v>88</v>
      </c>
      <c r="S17" s="27">
        <f>+IF(R17="","",VLOOKUP(R17,TABLAS!$I$30:$J$33,2,0))</f>
        <v>2</v>
      </c>
      <c r="T17" s="27">
        <f t="shared" si="0"/>
        <v>1.65</v>
      </c>
      <c r="U17" s="92">
        <f>+IF(T17&gt;=TABLAS!$A$39,F17-TABLAS!$C$39,F17)</f>
        <v>2</v>
      </c>
      <c r="V17" s="92" t="s">
        <v>51</v>
      </c>
      <c r="W17" s="92" t="str">
        <f>INDEX(TABLAS!$B$14:$F$18,MATCH(U17,TABLAS!$A$14:$A$18,0),MATCH(V17,TABLAS!$B$13:$F$13,0))</f>
        <v>B</v>
      </c>
      <c r="X17" s="92" t="str">
        <f>+VLOOKUP(W17,TABLAS!$A$22:$B$25,2,0)</f>
        <v>Asumir y monitoreo</v>
      </c>
      <c r="Y17" s="92" t="s">
        <v>133</v>
      </c>
      <c r="Z17" s="92" t="s">
        <v>547</v>
      </c>
      <c r="AA17" s="29">
        <v>43800</v>
      </c>
      <c r="AB17" s="34" t="s">
        <v>36</v>
      </c>
      <c r="AC17" s="32"/>
      <c r="AD17" s="167"/>
      <c r="AE17" s="32"/>
      <c r="AF17" s="34" t="s">
        <v>36</v>
      </c>
      <c r="AG17" s="31" t="s">
        <v>480</v>
      </c>
    </row>
    <row r="18" spans="1:33" ht="138.75" customHeight="1" x14ac:dyDescent="0.3">
      <c r="A18" s="45" t="s">
        <v>168</v>
      </c>
      <c r="B18" s="31" t="s">
        <v>282</v>
      </c>
      <c r="C18" s="31" t="s">
        <v>283</v>
      </c>
      <c r="D18" s="92" t="s">
        <v>203</v>
      </c>
      <c r="E18" s="92" t="s">
        <v>385</v>
      </c>
      <c r="F18" s="92">
        <v>2</v>
      </c>
      <c r="G18" s="92" t="s">
        <v>52</v>
      </c>
      <c r="H18" s="92" t="str">
        <f>INDEX(TABLAS!$B$14:$F$18,MATCH(F18,TABLAS!$A$14:$A$18,0),MATCH(G18,TABLAS!$B$13:$F$13,0))</f>
        <v>M</v>
      </c>
      <c r="I18" s="92" t="s">
        <v>134</v>
      </c>
      <c r="J18" s="27" t="s">
        <v>69</v>
      </c>
      <c r="K18" s="27">
        <f>IF(J18="","",VLOOKUP(J18,TABLAS!$A$30:$B$32,2,0))</f>
        <v>1</v>
      </c>
      <c r="L18" s="27" t="s">
        <v>65</v>
      </c>
      <c r="M18" s="27">
        <f>IF(L18="","",VLOOKUP(L18,TABLAS!$C$30:$D$33,2,0))</f>
        <v>3</v>
      </c>
      <c r="N18" s="27" t="s">
        <v>76</v>
      </c>
      <c r="O18" s="27">
        <f>+IF(N18="","",VLOOKUP(N18,TABLAS!$E$30:$F$33,2,0))</f>
        <v>3</v>
      </c>
      <c r="P18" s="27" t="s">
        <v>83</v>
      </c>
      <c r="Q18" s="27">
        <f>+IF(P18="","",VLOOKUP(P18,TABLAS!$G$30:$H$33,2,0))</f>
        <v>1</v>
      </c>
      <c r="R18" s="27" t="s">
        <v>88</v>
      </c>
      <c r="S18" s="27">
        <f>+IF(R18="","",VLOOKUP(R18,TABLAS!$I$30:$J$33,2,0))</f>
        <v>2</v>
      </c>
      <c r="T18" s="27">
        <f t="shared" si="0"/>
        <v>1.9</v>
      </c>
      <c r="U18" s="92">
        <f>+IF(T18&gt;=TABLAS!$A$39,F18-TABLAS!$C$39,F18)</f>
        <v>2</v>
      </c>
      <c r="V18" s="92" t="s">
        <v>51</v>
      </c>
      <c r="W18" s="92" t="str">
        <f>INDEX(TABLAS!$B$14:$F$18,MATCH(U18,TABLAS!$A$14:$A$18,0),MATCH(V18,TABLAS!$B$13:$F$13,0))</f>
        <v>B</v>
      </c>
      <c r="X18" s="92" t="str">
        <f>+VLOOKUP(W18,TABLAS!$A$22:$B$25,2,0)</f>
        <v>Asumir y monitoreo</v>
      </c>
      <c r="Y18" s="92" t="s">
        <v>103</v>
      </c>
      <c r="Z18" s="92" t="s">
        <v>135</v>
      </c>
      <c r="AA18" s="92" t="s">
        <v>103</v>
      </c>
      <c r="AB18" s="34" t="s">
        <v>36</v>
      </c>
      <c r="AC18" s="32"/>
      <c r="AD18" s="167"/>
      <c r="AE18" s="32"/>
      <c r="AF18" s="34" t="s">
        <v>36</v>
      </c>
      <c r="AG18" s="32"/>
    </row>
    <row r="19" spans="1:33" ht="124.8" x14ac:dyDescent="0.3">
      <c r="A19" s="45" t="s">
        <v>169</v>
      </c>
      <c r="B19" s="31" t="s">
        <v>284</v>
      </c>
      <c r="C19" s="31" t="s">
        <v>388</v>
      </c>
      <c r="D19" s="92" t="s">
        <v>203</v>
      </c>
      <c r="E19" s="92" t="s">
        <v>385</v>
      </c>
      <c r="F19" s="92">
        <v>2</v>
      </c>
      <c r="G19" s="92" t="s">
        <v>53</v>
      </c>
      <c r="H19" s="92" t="str">
        <f>INDEX(TABLAS!$B$14:$F$18,MATCH(F19,TABLAS!$A$14:$A$18,0),MATCH(G19,TABLAS!$B$13:$F$13,0))</f>
        <v>A</v>
      </c>
      <c r="I19" s="92" t="s">
        <v>115</v>
      </c>
      <c r="J19" s="27" t="s">
        <v>69</v>
      </c>
      <c r="K19" s="27">
        <f>IF(J19="","",VLOOKUP(J19,TABLAS!$A$30:$B$32,2,0))</f>
        <v>1</v>
      </c>
      <c r="L19" s="27" t="s">
        <v>72</v>
      </c>
      <c r="M19" s="27">
        <f>IF(L19="","",VLOOKUP(L19,TABLAS!$C$30:$D$33,2,0))</f>
        <v>2</v>
      </c>
      <c r="N19" s="27" t="s">
        <v>77</v>
      </c>
      <c r="O19" s="27">
        <f>+IF(N19="","",VLOOKUP(N19,TABLAS!$E$30:$F$33,2,0))</f>
        <v>2</v>
      </c>
      <c r="P19" s="27" t="s">
        <v>81</v>
      </c>
      <c r="Q19" s="27">
        <f>+IF(P19="","",VLOOKUP(P19,TABLAS!$G$30:$H$33,2,0))</f>
        <v>3</v>
      </c>
      <c r="R19" s="27" t="s">
        <v>88</v>
      </c>
      <c r="S19" s="27">
        <f>+IF(R19="","",VLOOKUP(R19,TABLAS!$I$30:$J$33,2,0))</f>
        <v>2</v>
      </c>
      <c r="T19" s="27">
        <f t="shared" si="0"/>
        <v>1.9500000000000002</v>
      </c>
      <c r="U19" s="92">
        <f>+IF(T19&gt;=TABLAS!$A$39,F19-TABLAS!$C$39,F19)</f>
        <v>2</v>
      </c>
      <c r="V19" s="92" t="s">
        <v>52</v>
      </c>
      <c r="W19" s="92" t="str">
        <f>INDEX(TABLAS!$B$14:$F$18,MATCH(U19,TABLAS!$A$14:$A$18,0),MATCH(V19,TABLAS!$B$13:$F$13,0))</f>
        <v>M</v>
      </c>
      <c r="X19" s="92" t="str">
        <f>+VLOOKUP(W19,TABLAS!$A$22:$B$25,2,0)</f>
        <v>Asumir, mitigar el riesgo</v>
      </c>
      <c r="Y19" s="92" t="s">
        <v>136</v>
      </c>
      <c r="Z19" s="92" t="s">
        <v>116</v>
      </c>
      <c r="AA19" s="29">
        <v>43709</v>
      </c>
      <c r="AB19" s="34" t="s">
        <v>36</v>
      </c>
      <c r="AC19" s="32"/>
      <c r="AD19" s="167"/>
      <c r="AE19" s="32"/>
      <c r="AF19" s="34" t="s">
        <v>36</v>
      </c>
      <c r="AG19" s="32"/>
    </row>
    <row r="20" spans="1:33" ht="123" customHeight="1" x14ac:dyDescent="0.3">
      <c r="A20" s="45" t="s">
        <v>170</v>
      </c>
      <c r="B20" s="31" t="s">
        <v>285</v>
      </c>
      <c r="C20" s="31" t="s">
        <v>286</v>
      </c>
      <c r="D20" s="92" t="s">
        <v>203</v>
      </c>
      <c r="E20" s="92" t="s">
        <v>385</v>
      </c>
      <c r="F20" s="92">
        <v>3</v>
      </c>
      <c r="G20" s="92" t="s">
        <v>53</v>
      </c>
      <c r="H20" s="92" t="str">
        <f>INDEX(TABLAS!$B$14:$F$18,MATCH(F20,TABLAS!$A$14:$A$18,0),MATCH(G20,TABLAS!$B$13:$F$13,0))</f>
        <v>E</v>
      </c>
      <c r="I20" s="92" t="s">
        <v>118</v>
      </c>
      <c r="J20" s="27" t="s">
        <v>69</v>
      </c>
      <c r="K20" s="27">
        <f>IF(J20="","",VLOOKUP(J20,TABLAS!$A$30:$B$32,2,0))</f>
        <v>1</v>
      </c>
      <c r="L20" s="27" t="s">
        <v>65</v>
      </c>
      <c r="M20" s="27">
        <f>IF(L20="","",VLOOKUP(L20,TABLAS!$C$30:$D$33,2,0))</f>
        <v>3</v>
      </c>
      <c r="N20" s="27" t="s">
        <v>77</v>
      </c>
      <c r="O20" s="27">
        <f>+IF(N20="","",VLOOKUP(N20,TABLAS!$E$30:$F$33,2,0))</f>
        <v>2</v>
      </c>
      <c r="P20" s="27" t="s">
        <v>81</v>
      </c>
      <c r="Q20" s="27">
        <f>+IF(P20="","",VLOOKUP(P20,TABLAS!$G$30:$H$33,2,0))</f>
        <v>3</v>
      </c>
      <c r="R20" s="27" t="s">
        <v>88</v>
      </c>
      <c r="S20" s="27">
        <f>+IF(R20="","",VLOOKUP(R20,TABLAS!$I$30:$J$33,2,0))</f>
        <v>2</v>
      </c>
      <c r="T20" s="27">
        <f t="shared" si="0"/>
        <v>2.0500000000000003</v>
      </c>
      <c r="U20" s="92">
        <f>+IF(T20&gt;=TABLAS!$A$39,F20-TABLAS!$C$39,F20)</f>
        <v>3</v>
      </c>
      <c r="V20" s="92" t="s">
        <v>52</v>
      </c>
      <c r="W20" s="92" t="str">
        <f>INDEX(TABLAS!$B$14:$F$18,MATCH(U20,TABLAS!$A$14:$A$18,0),MATCH(V20,TABLAS!$B$13:$F$13,0))</f>
        <v>A</v>
      </c>
      <c r="X20" s="92" t="str">
        <f>+VLOOKUP(W20,TABLAS!$A$22:$B$25,2,0)</f>
        <v>Plan de Acción para mitigar, evitar, compartir o transferir el riesgo.</v>
      </c>
      <c r="Y20" s="92" t="s">
        <v>138</v>
      </c>
      <c r="Z20" s="92" t="s">
        <v>137</v>
      </c>
      <c r="AA20" s="29">
        <v>43800</v>
      </c>
      <c r="AB20" s="34" t="s">
        <v>36</v>
      </c>
      <c r="AC20" s="32"/>
      <c r="AD20" s="167"/>
      <c r="AE20" s="32"/>
      <c r="AF20" s="34" t="s">
        <v>36</v>
      </c>
      <c r="AG20" s="32"/>
    </row>
    <row r="21" spans="1:33" ht="114.75" customHeight="1" x14ac:dyDescent="0.3">
      <c r="A21" s="45" t="s">
        <v>171</v>
      </c>
      <c r="B21" s="31" t="s">
        <v>249</v>
      </c>
      <c r="C21" s="33" t="s">
        <v>248</v>
      </c>
      <c r="D21" s="92" t="s">
        <v>204</v>
      </c>
      <c r="E21" s="92" t="s">
        <v>381</v>
      </c>
      <c r="F21" s="92">
        <v>2</v>
      </c>
      <c r="G21" s="92" t="s">
        <v>53</v>
      </c>
      <c r="H21" s="92" t="str">
        <f>INDEX(TABLAS!$B$14:$F$18,MATCH(F21,TABLAS!$A$14:$A$18,0),MATCH(G21,TABLAS!$B$13:$F$13,0))</f>
        <v>A</v>
      </c>
      <c r="I21" s="92" t="s">
        <v>287</v>
      </c>
      <c r="J21" s="27" t="s">
        <v>68</v>
      </c>
      <c r="K21" s="27">
        <f>IF(J21="","",VLOOKUP(J21,TABLAS!$A$30:$B$32,2,0))</f>
        <v>3</v>
      </c>
      <c r="L21" s="27" t="s">
        <v>65</v>
      </c>
      <c r="M21" s="27">
        <f>IF(L21="","",VLOOKUP(L21,TABLAS!$C$30:$D$33,2,0))</f>
        <v>3</v>
      </c>
      <c r="N21" s="27" t="s">
        <v>79</v>
      </c>
      <c r="O21" s="27">
        <f>+IF(N21="","",VLOOKUP(N21,TABLAS!$E$30:$F$33,2,0))</f>
        <v>0</v>
      </c>
      <c r="P21" s="27" t="s">
        <v>81</v>
      </c>
      <c r="Q21" s="27">
        <f>+IF(P21="","",VLOOKUP(P21,TABLAS!$G$30:$H$33,2,0))</f>
        <v>3</v>
      </c>
      <c r="R21" s="27" t="s">
        <v>86</v>
      </c>
      <c r="S21" s="27">
        <f>+IF(R21="","",VLOOKUP(R21,TABLAS!$I$30:$J$33,2,0))</f>
        <v>3</v>
      </c>
      <c r="T21" s="27">
        <f t="shared" si="0"/>
        <v>2.25</v>
      </c>
      <c r="U21" s="92">
        <f>+IF(T21&gt;=TABLAS!$A$39,F21-TABLAS!$C$39,F21)</f>
        <v>1</v>
      </c>
      <c r="V21" s="92" t="s">
        <v>52</v>
      </c>
      <c r="W21" s="92" t="str">
        <f>INDEX(TABLAS!$B$14:$F$18,MATCH(U21,TABLAS!$A$14:$A$18,0),MATCH(V21,TABLAS!$B$13:$F$13,0))</f>
        <v>M</v>
      </c>
      <c r="X21" s="92" t="str">
        <f>+VLOOKUP(W21,TABLAS!$A$22:$B$25,2,0)</f>
        <v>Asumir, mitigar el riesgo</v>
      </c>
      <c r="Y21" s="92" t="s">
        <v>103</v>
      </c>
      <c r="Z21" s="92" t="s">
        <v>119</v>
      </c>
      <c r="AA21" s="92" t="s">
        <v>117</v>
      </c>
      <c r="AB21" s="34" t="s">
        <v>36</v>
      </c>
      <c r="AC21" s="32"/>
      <c r="AD21" s="167"/>
      <c r="AE21" s="32"/>
      <c r="AF21" s="34" t="s">
        <v>36</v>
      </c>
      <c r="AG21" s="32"/>
    </row>
    <row r="22" spans="1:33" ht="110.25" customHeight="1" x14ac:dyDescent="0.3">
      <c r="A22" s="45" t="s">
        <v>271</v>
      </c>
      <c r="B22" s="31" t="s">
        <v>250</v>
      </c>
      <c r="C22" s="31" t="s">
        <v>251</v>
      </c>
      <c r="D22" s="92" t="s">
        <v>203</v>
      </c>
      <c r="E22" s="92" t="s">
        <v>385</v>
      </c>
      <c r="F22" s="92">
        <v>3</v>
      </c>
      <c r="G22" s="92" t="s">
        <v>52</v>
      </c>
      <c r="H22" s="92" t="str">
        <f>INDEX(TABLAS!$B$14:$F$18,MATCH(F22,TABLAS!$A$14:$A$18,0),MATCH(G22,TABLAS!$B$13:$F$13,0))</f>
        <v>A</v>
      </c>
      <c r="I22" s="92" t="s">
        <v>120</v>
      </c>
      <c r="J22" s="27" t="s">
        <v>68</v>
      </c>
      <c r="K22" s="27">
        <f>IF(J22="","",VLOOKUP(J22,TABLAS!$A$30:$B$32,2,0))</f>
        <v>3</v>
      </c>
      <c r="L22" s="27" t="s">
        <v>65</v>
      </c>
      <c r="M22" s="27">
        <f>IF(L22="","",VLOOKUP(L22,TABLAS!$C$30:$D$33,2,0))</f>
        <v>3</v>
      </c>
      <c r="N22" s="27" t="s">
        <v>76</v>
      </c>
      <c r="O22" s="27">
        <f>+IF(N22="","",VLOOKUP(N22,TABLAS!$E$30:$F$33,2,0))</f>
        <v>3</v>
      </c>
      <c r="P22" s="27" t="s">
        <v>81</v>
      </c>
      <c r="Q22" s="27">
        <f>+IF(P22="","",VLOOKUP(P22,TABLAS!$G$30:$H$33,2,0))</f>
        <v>3</v>
      </c>
      <c r="R22" s="27" t="s">
        <v>86</v>
      </c>
      <c r="S22" s="27">
        <f>+IF(R22="","",VLOOKUP(R22,TABLAS!$I$30:$J$33,2,0))</f>
        <v>3</v>
      </c>
      <c r="T22" s="27">
        <f t="shared" si="0"/>
        <v>3.0000000000000004</v>
      </c>
      <c r="U22" s="92">
        <f>+IF(T22&gt;=TABLAS!$A$39,F22-TABLAS!$C$39,F22)</f>
        <v>2</v>
      </c>
      <c r="V22" s="92" t="s">
        <v>52</v>
      </c>
      <c r="W22" s="92" t="str">
        <f>INDEX(TABLAS!$B$14:$F$18,MATCH(U22,TABLAS!$A$14:$A$18,0),MATCH(V22,TABLAS!$B$13:$F$13,0))</f>
        <v>M</v>
      </c>
      <c r="X22" s="92" t="str">
        <f>+VLOOKUP(W22,TABLAS!$A$22:$B$25,2,0)</f>
        <v>Asumir, mitigar el riesgo</v>
      </c>
      <c r="Y22" s="92" t="s">
        <v>103</v>
      </c>
      <c r="Z22" s="31" t="s">
        <v>252</v>
      </c>
      <c r="AA22" s="92" t="s">
        <v>117</v>
      </c>
      <c r="AB22" s="34" t="s">
        <v>36</v>
      </c>
      <c r="AC22" s="32"/>
      <c r="AD22" s="167"/>
      <c r="AE22" s="32"/>
      <c r="AF22" s="34" t="s">
        <v>36</v>
      </c>
      <c r="AG22" s="32"/>
    </row>
    <row r="23" spans="1:33" ht="105.75" customHeight="1" x14ac:dyDescent="0.3">
      <c r="A23" s="45" t="s">
        <v>272</v>
      </c>
      <c r="B23" s="31" t="s">
        <v>253</v>
      </c>
      <c r="C23" s="31" t="s">
        <v>254</v>
      </c>
      <c r="D23" s="92" t="s">
        <v>204</v>
      </c>
      <c r="E23" s="92" t="s">
        <v>384</v>
      </c>
      <c r="F23" s="92">
        <v>2</v>
      </c>
      <c r="G23" s="92" t="s">
        <v>53</v>
      </c>
      <c r="H23" s="92" t="str">
        <f>INDEX(TABLAS!$B$14:$F$18,MATCH(F23,TABLAS!$A$14:$A$18,0),MATCH(G23,TABLAS!$B$13:$F$13,0))</f>
        <v>A</v>
      </c>
      <c r="I23" s="92" t="s">
        <v>139</v>
      </c>
      <c r="J23" s="27" t="s">
        <v>68</v>
      </c>
      <c r="K23" s="27">
        <f>IF(J23="","",VLOOKUP(J23,TABLAS!$A$30:$B$32,2,0))</f>
        <v>3</v>
      </c>
      <c r="L23" s="27" t="s">
        <v>65</v>
      </c>
      <c r="M23" s="27">
        <f>IF(L23="","",VLOOKUP(L23,TABLAS!$C$30:$D$33,2,0))</f>
        <v>3</v>
      </c>
      <c r="N23" s="27" t="s">
        <v>79</v>
      </c>
      <c r="O23" s="27">
        <f>+IF(N23="","",VLOOKUP(N23,TABLAS!$E$30:$F$33,2,0))</f>
        <v>0</v>
      </c>
      <c r="P23" s="27" t="s">
        <v>83</v>
      </c>
      <c r="Q23" s="27">
        <f>+IF(P23="","",VLOOKUP(P23,TABLAS!$G$30:$H$33,2,0))</f>
        <v>1</v>
      </c>
      <c r="R23" s="27" t="s">
        <v>89</v>
      </c>
      <c r="S23" s="27">
        <f>+IF(R23="","",VLOOKUP(R23,TABLAS!$I$30:$J$33,2,0))</f>
        <v>0</v>
      </c>
      <c r="T23" s="27">
        <f t="shared" si="0"/>
        <v>1.25</v>
      </c>
      <c r="U23" s="92">
        <f>+IF(T23&gt;=TABLAS!$A$39,F23-TABLAS!$C$39,F23)</f>
        <v>2</v>
      </c>
      <c r="V23" s="92" t="s">
        <v>52</v>
      </c>
      <c r="W23" s="92" t="str">
        <f>INDEX(TABLAS!$B$14:$F$18,MATCH(U23,TABLAS!$A$14:$A$18,0),MATCH(V23,TABLAS!$B$13:$F$13,0))</f>
        <v>M</v>
      </c>
      <c r="X23" s="92" t="str">
        <f>+VLOOKUP(W23,TABLAS!$A$22:$B$25,2,0)</f>
        <v>Asumir, mitigar el riesgo</v>
      </c>
      <c r="Y23" s="92" t="s">
        <v>103</v>
      </c>
      <c r="Z23" s="92" t="s">
        <v>119</v>
      </c>
      <c r="AA23" s="29">
        <v>43800</v>
      </c>
      <c r="AB23" s="34" t="s">
        <v>36</v>
      </c>
      <c r="AC23" s="32"/>
      <c r="AD23" s="167"/>
      <c r="AE23" s="32"/>
      <c r="AF23" s="34" t="s">
        <v>36</v>
      </c>
      <c r="AG23" s="32"/>
    </row>
    <row r="24" spans="1:33" ht="69" customHeight="1" x14ac:dyDescent="0.3">
      <c r="A24" s="45" t="s">
        <v>273</v>
      </c>
      <c r="B24" s="31" t="s">
        <v>255</v>
      </c>
      <c r="C24" s="31" t="s">
        <v>256</v>
      </c>
      <c r="D24" s="92" t="s">
        <v>202</v>
      </c>
      <c r="E24" s="92" t="s">
        <v>385</v>
      </c>
      <c r="F24" s="92">
        <v>2</v>
      </c>
      <c r="G24" s="92" t="s">
        <v>52</v>
      </c>
      <c r="H24" s="92" t="str">
        <f>INDEX(TABLAS!$B$14:$F$18,MATCH(F24,TABLAS!$A$14:$A$18,0),MATCH(G24,TABLAS!$B$13:$F$13,0))</f>
        <v>M</v>
      </c>
      <c r="I24" s="92" t="s">
        <v>29</v>
      </c>
      <c r="J24" s="27" t="s">
        <v>106</v>
      </c>
      <c r="K24" s="27">
        <f>IF(J24="","",VLOOKUP(J24,TABLAS!$A$30:$B$32,2,0))</f>
        <v>2</v>
      </c>
      <c r="L24" s="27" t="s">
        <v>65</v>
      </c>
      <c r="M24" s="27">
        <f>IF(L24="","",VLOOKUP(L24,TABLAS!$C$30:$D$33,2,0))</f>
        <v>3</v>
      </c>
      <c r="N24" s="27" t="s">
        <v>76</v>
      </c>
      <c r="O24" s="27">
        <f>+IF(N24="","",VLOOKUP(N24,TABLAS!$E$30:$F$33,2,0))</f>
        <v>3</v>
      </c>
      <c r="P24" s="27" t="s">
        <v>81</v>
      </c>
      <c r="Q24" s="27">
        <f>+IF(P24="","",VLOOKUP(P24,TABLAS!$G$30:$H$33,2,0))</f>
        <v>3</v>
      </c>
      <c r="R24" s="27" t="s">
        <v>87</v>
      </c>
      <c r="S24" s="27">
        <f>+IF(R24="","",VLOOKUP(R24,TABLAS!$I$30:$J$33,2,0))</f>
        <v>3</v>
      </c>
      <c r="T24" s="27">
        <f t="shared" si="0"/>
        <v>2.7500000000000004</v>
      </c>
      <c r="U24" s="92">
        <f>+IF(T24&gt;=TABLAS!$A$39,F24-TABLAS!$C$39,F24)</f>
        <v>1</v>
      </c>
      <c r="V24" s="92" t="s">
        <v>51</v>
      </c>
      <c r="W24" s="92" t="str">
        <f>INDEX(TABLAS!$B$14:$F$18,MATCH(U24,TABLAS!$A$14:$A$18,0),MATCH(V24,TABLAS!$B$13:$F$13,0))</f>
        <v>B</v>
      </c>
      <c r="X24" s="92" t="str">
        <f>+VLOOKUP(W24,TABLAS!$A$22:$B$25,2,0)</f>
        <v>Asumir y monitoreo</v>
      </c>
      <c r="Y24" s="92" t="s">
        <v>103</v>
      </c>
      <c r="Z24" s="92" t="s">
        <v>121</v>
      </c>
      <c r="AA24" s="92" t="s">
        <v>117</v>
      </c>
      <c r="AB24" s="34" t="s">
        <v>36</v>
      </c>
      <c r="AC24" s="32"/>
      <c r="AD24" s="167"/>
      <c r="AE24" s="32"/>
      <c r="AF24" s="34" t="s">
        <v>36</v>
      </c>
      <c r="AG24" s="32"/>
    </row>
    <row r="25" spans="1:33" ht="62.4" x14ac:dyDescent="0.3">
      <c r="A25" s="45" t="s">
        <v>274</v>
      </c>
      <c r="B25" s="213" t="s">
        <v>257</v>
      </c>
      <c r="C25" s="31" t="s">
        <v>259</v>
      </c>
      <c r="D25" s="92" t="s">
        <v>202</v>
      </c>
      <c r="E25" s="92" t="s">
        <v>385</v>
      </c>
      <c r="F25" s="92">
        <v>2</v>
      </c>
      <c r="G25" s="92" t="s">
        <v>53</v>
      </c>
      <c r="H25" s="92" t="str">
        <f>INDEX(TABLAS!$B$14:$F$18,MATCH(F25,TABLAS!$A$14:$A$18,0),MATCH(G25,TABLAS!$B$13:$F$13,0))</f>
        <v>A</v>
      </c>
      <c r="I25" s="92" t="s">
        <v>258</v>
      </c>
      <c r="J25" s="27" t="s">
        <v>106</v>
      </c>
      <c r="K25" s="27">
        <f>IF(J25="","",VLOOKUP(J25,TABLAS!$A$30:$B$32,2,0))</f>
        <v>2</v>
      </c>
      <c r="L25" s="27" t="s">
        <v>65</v>
      </c>
      <c r="M25" s="27">
        <f>IF(L25="","",VLOOKUP(L25,TABLAS!$C$30:$D$33,2,0))</f>
        <v>3</v>
      </c>
      <c r="N25" s="27" t="s">
        <v>77</v>
      </c>
      <c r="O25" s="27">
        <f>+IF(N25="","",VLOOKUP(N25,TABLAS!$E$30:$F$33,2,0))</f>
        <v>2</v>
      </c>
      <c r="P25" s="27" t="s">
        <v>82</v>
      </c>
      <c r="Q25" s="27">
        <f>+IF(P25="","",VLOOKUP(P25,TABLAS!$G$30:$H$33,2,0))</f>
        <v>2</v>
      </c>
      <c r="R25" s="27" t="s">
        <v>87</v>
      </c>
      <c r="S25" s="27">
        <f>+IF(R25="","",VLOOKUP(R25,TABLAS!$I$30:$J$33,2,0))</f>
        <v>3</v>
      </c>
      <c r="T25" s="27">
        <f t="shared" si="0"/>
        <v>2.3000000000000003</v>
      </c>
      <c r="U25" s="92">
        <f>+IF(T25&gt;=TABLAS!$A$39,F25-TABLAS!$C$39,F25)</f>
        <v>1</v>
      </c>
      <c r="V25" s="92" t="s">
        <v>52</v>
      </c>
      <c r="W25" s="92" t="str">
        <f>INDEX(TABLAS!$B$14:$F$18,MATCH(U25,TABLAS!$A$14:$A$18,0),MATCH(V25,TABLAS!$B$13:$F$13,0))</f>
        <v>M</v>
      </c>
      <c r="X25" s="92" t="str">
        <f>+VLOOKUP(W25,TABLAS!$A$22:$B$25,2,0)</f>
        <v>Asumir, mitigar el riesgo</v>
      </c>
      <c r="Y25" s="92" t="s">
        <v>103</v>
      </c>
      <c r="Z25" s="92" t="s">
        <v>263</v>
      </c>
      <c r="AA25" s="29">
        <v>43800</v>
      </c>
      <c r="AB25" s="34" t="s">
        <v>36</v>
      </c>
      <c r="AC25" s="32"/>
      <c r="AD25" s="167"/>
      <c r="AE25" s="32"/>
      <c r="AF25" s="34" t="s">
        <v>36</v>
      </c>
      <c r="AG25" s="32"/>
    </row>
    <row r="26" spans="1:33" ht="121.5" customHeight="1" x14ac:dyDescent="0.3">
      <c r="A26" s="45">
        <v>12</v>
      </c>
      <c r="B26" s="214"/>
      <c r="C26" s="31" t="s">
        <v>389</v>
      </c>
      <c r="D26" s="92" t="s">
        <v>375</v>
      </c>
      <c r="E26" s="92" t="s">
        <v>383</v>
      </c>
      <c r="F26" s="92">
        <v>3</v>
      </c>
      <c r="G26" s="92" t="s">
        <v>54</v>
      </c>
      <c r="H26" s="92" t="str">
        <f>INDEX(TABLAS!$B$14:$F$18,MATCH(F26,TABLAS!$A$14:$A$18,0),MATCH(G26,TABLAS!$B$13:$F$13,0))</f>
        <v>E</v>
      </c>
      <c r="I26" s="92" t="s">
        <v>260</v>
      </c>
      <c r="J26" s="27" t="s">
        <v>69</v>
      </c>
      <c r="K26" s="27">
        <f>IF(J26="","",VLOOKUP(J26,TABLAS!$A$30:$B$32,2,0))</f>
        <v>1</v>
      </c>
      <c r="L26" s="27" t="s">
        <v>72</v>
      </c>
      <c r="M26" s="27">
        <f>IF(L26="","",VLOOKUP(L26,TABLAS!$C$30:$D$33,2,0))</f>
        <v>2</v>
      </c>
      <c r="N26" s="27" t="s">
        <v>76</v>
      </c>
      <c r="O26" s="27">
        <f>+IF(N26="","",VLOOKUP(N26,TABLAS!$E$30:$F$33,2,0))</f>
        <v>3</v>
      </c>
      <c r="P26" s="27" t="s">
        <v>82</v>
      </c>
      <c r="Q26" s="27">
        <f>+IF(P26="","",VLOOKUP(P26,TABLAS!$G$30:$H$33,2,0))</f>
        <v>2</v>
      </c>
      <c r="R26" s="27" t="s">
        <v>88</v>
      </c>
      <c r="S26" s="27">
        <f>+IF(R26="","",VLOOKUP(R26,TABLAS!$I$30:$J$33,2,0))</f>
        <v>2</v>
      </c>
      <c r="T26" s="27">
        <f>IFERROR(K26*25%+M26*10%+O26*25%+Q26*20%+S26*20%,0)</f>
        <v>2</v>
      </c>
      <c r="U26" s="92">
        <f>+IF(T26&gt;=TABLAS!$A$39,F26-TABLAS!$C$39,F26)</f>
        <v>3</v>
      </c>
      <c r="V26" s="92" t="s">
        <v>52</v>
      </c>
      <c r="W26" s="92" t="str">
        <f>INDEX(TABLAS!$B$14:$F$18,MATCH(U26,TABLAS!$A$14:$A$18,0),MATCH(V26,TABLAS!$B$13:$F$13,0))</f>
        <v>A</v>
      </c>
      <c r="X26" s="92" t="str">
        <f>+VLOOKUP(W26,TABLAS!$A$22:$B$25,2,0)</f>
        <v>Plan de Acción para mitigar, evitar, compartir o transferir el riesgo.</v>
      </c>
      <c r="Y26" s="33" t="s">
        <v>261</v>
      </c>
      <c r="Z26" s="92" t="s">
        <v>262</v>
      </c>
      <c r="AA26" s="29">
        <v>43800</v>
      </c>
      <c r="AB26" s="34" t="s">
        <v>36</v>
      </c>
      <c r="AC26" s="32"/>
      <c r="AD26" s="167"/>
      <c r="AE26" s="32"/>
      <c r="AF26" s="34" t="s">
        <v>36</v>
      </c>
      <c r="AG26" s="32"/>
    </row>
    <row r="28" spans="1:33" s="25" customFormat="1" ht="23.4" x14ac:dyDescent="0.3">
      <c r="A28" s="201" t="s">
        <v>587</v>
      </c>
      <c r="B28" s="201"/>
      <c r="C28" s="201"/>
      <c r="D28" s="201"/>
      <c r="E28" s="206" t="s">
        <v>592</v>
      </c>
      <c r="F28" s="206"/>
      <c r="G28" s="206"/>
      <c r="H28" s="206"/>
      <c r="I28" s="206"/>
    </row>
    <row r="29" spans="1:33" s="25" customFormat="1" ht="6.75" customHeight="1" x14ac:dyDescent="0.3">
      <c r="E29" s="145"/>
      <c r="F29" s="145"/>
      <c r="G29" s="145"/>
      <c r="H29" s="145"/>
      <c r="I29" s="145"/>
    </row>
    <row r="30" spans="1:33" s="25" customFormat="1" ht="23.4" x14ac:dyDescent="0.3">
      <c r="A30" s="201" t="s">
        <v>588</v>
      </c>
      <c r="B30" s="201"/>
      <c r="C30" s="201"/>
      <c r="D30" s="201"/>
      <c r="E30" s="206" t="s">
        <v>589</v>
      </c>
      <c r="F30" s="206"/>
      <c r="G30" s="206"/>
      <c r="H30" s="206"/>
      <c r="I30" s="206"/>
    </row>
  </sheetData>
  <mergeCells count="20">
    <mergeCell ref="A10:D10"/>
    <mergeCell ref="E10:G10"/>
    <mergeCell ref="A28:D28"/>
    <mergeCell ref="E28:I28"/>
    <mergeCell ref="A30:D30"/>
    <mergeCell ref="E30:I30"/>
    <mergeCell ref="B25:B26"/>
    <mergeCell ref="A12:A14"/>
    <mergeCell ref="B12:E13"/>
    <mergeCell ref="X12:AA12"/>
    <mergeCell ref="AB12:AG13"/>
    <mergeCell ref="Y13:Y14"/>
    <mergeCell ref="Z13:Z14"/>
    <mergeCell ref="AA13:AA14"/>
    <mergeCell ref="X13:X14"/>
    <mergeCell ref="W12:W13"/>
    <mergeCell ref="F12:H12"/>
    <mergeCell ref="F13:G13"/>
    <mergeCell ref="I12:T13"/>
    <mergeCell ref="U12:V13"/>
  </mergeCells>
  <conditionalFormatting sqref="H15:H26 W15:W26">
    <cfRule type="expression" dxfId="35" priority="5" stopIfTrue="1">
      <formula>H15="E"</formula>
    </cfRule>
    <cfRule type="expression" dxfId="34" priority="6" stopIfTrue="1">
      <formula>H15="M"</formula>
    </cfRule>
    <cfRule type="expression" dxfId="33" priority="7" stopIfTrue="1">
      <formula>H15="B"</formula>
    </cfRule>
    <cfRule type="expression" dxfId="32" priority="8" stopIfTrue="1">
      <formula>H15="A"</formula>
    </cfRule>
  </conditionalFormatting>
  <pageMargins left="0.7" right="0.7" top="0.75" bottom="0.75" header="0.3" footer="0.3"/>
  <pageSetup scale="60" orientation="portrait" r:id="rId1"/>
  <colBreaks count="1" manualBreakCount="1">
    <brk id="23" max="29"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300-000000000000}">
          <x14:formula1>
            <xm:f>TABLAS!$A$14:$A$18</xm:f>
          </x14:formula1>
          <xm:sqref>F15:F26</xm:sqref>
        </x14:dataValidation>
        <x14:dataValidation type="list" allowBlank="1" showInputMessage="1" showErrorMessage="1" xr:uid="{00000000-0002-0000-1300-000001000000}">
          <x14:formula1>
            <xm:f>TABLAS!$B$13:$F$13</xm:f>
          </x14:formula1>
          <xm:sqref>G15:G26 V15:V26</xm:sqref>
        </x14:dataValidation>
        <x14:dataValidation type="list" allowBlank="1" showInputMessage="1" showErrorMessage="1" xr:uid="{00000000-0002-0000-1300-000002000000}">
          <x14:formula1>
            <xm:f>TABLAS!$A$30:$A$32</xm:f>
          </x14:formula1>
          <xm:sqref>J15:J26</xm:sqref>
        </x14:dataValidation>
        <x14:dataValidation type="list" allowBlank="1" showInputMessage="1" showErrorMessage="1" xr:uid="{00000000-0002-0000-1300-000003000000}">
          <x14:formula1>
            <xm:f>TABLAS!$C$30:$C$33</xm:f>
          </x14:formula1>
          <xm:sqref>L15:L26</xm:sqref>
        </x14:dataValidation>
        <x14:dataValidation type="list" allowBlank="1" showInputMessage="1" showErrorMessage="1" xr:uid="{00000000-0002-0000-1300-000004000000}">
          <x14:formula1>
            <xm:f>TABLAS!$E$30:$E$33</xm:f>
          </x14:formula1>
          <xm:sqref>N15:N26</xm:sqref>
        </x14:dataValidation>
        <x14:dataValidation type="list" allowBlank="1" showInputMessage="1" showErrorMessage="1" xr:uid="{00000000-0002-0000-1300-000005000000}">
          <x14:formula1>
            <xm:f>TABLAS!$G$30:$G$33</xm:f>
          </x14:formula1>
          <xm:sqref>P15:P26</xm:sqref>
        </x14:dataValidation>
        <x14:dataValidation type="list" allowBlank="1" showInputMessage="1" showErrorMessage="1" xr:uid="{00000000-0002-0000-1300-000006000000}">
          <x14:formula1>
            <xm:f>TABLAS!$I$30:$I$33</xm:f>
          </x14:formula1>
          <xm:sqref>R15:R26</xm:sqref>
        </x14:dataValidation>
        <x14:dataValidation type="list" allowBlank="1" showInputMessage="1" showErrorMessage="1" xr:uid="{00000000-0002-0000-1300-000007000000}">
          <x14:formula1>
            <xm:f>TABLAS!$B$44:$B$52</xm:f>
          </x14:formula1>
          <xm:sqref>E15:E26</xm:sqref>
        </x14:dataValidation>
        <x14:dataValidation type="list" allowBlank="1" showInputMessage="1" showErrorMessage="1" xr:uid="{00000000-0002-0000-1300-000008000000}">
          <x14:formula1>
            <xm:f>TABLAS!$A$44:$A$52</xm:f>
          </x14:formula1>
          <xm:sqref>D15:D26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34998626667073579"/>
  </sheetPr>
  <dimension ref="A10:S27"/>
  <sheetViews>
    <sheetView view="pageBreakPreview" topLeftCell="D13" zoomScale="60" zoomScaleNormal="90" workbookViewId="0">
      <selection activeCell="P15" sqref="P15"/>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352</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78" x14ac:dyDescent="0.3">
      <c r="A13" s="153" t="s">
        <v>562</v>
      </c>
      <c r="B13" s="126" t="s">
        <v>277</v>
      </c>
      <c r="C13" s="126" t="s">
        <v>468</v>
      </c>
      <c r="D13" s="92" t="s">
        <v>114</v>
      </c>
      <c r="E13" s="139">
        <v>43800</v>
      </c>
      <c r="F13" s="139"/>
      <c r="G13" s="126"/>
      <c r="H13" s="126"/>
      <c r="I13" s="126"/>
    </row>
    <row r="14" spans="1:9" s="89" customFormat="1" ht="72" x14ac:dyDescent="0.3">
      <c r="A14" s="153" t="s">
        <v>563</v>
      </c>
      <c r="B14" s="126" t="s">
        <v>133</v>
      </c>
      <c r="C14" s="126" t="s">
        <v>468</v>
      </c>
      <c r="D14" s="146" t="s">
        <v>547</v>
      </c>
      <c r="E14" s="139">
        <v>43800</v>
      </c>
      <c r="F14" s="139"/>
      <c r="G14" s="126"/>
      <c r="H14" s="126"/>
      <c r="I14" s="126"/>
    </row>
    <row r="15" spans="1:9" s="89" customFormat="1" ht="72" x14ac:dyDescent="0.3">
      <c r="A15" s="153" t="s">
        <v>564</v>
      </c>
      <c r="B15" s="126" t="s">
        <v>136</v>
      </c>
      <c r="C15" s="126" t="s">
        <v>468</v>
      </c>
      <c r="D15" s="126" t="s">
        <v>116</v>
      </c>
      <c r="E15" s="139">
        <v>43800</v>
      </c>
      <c r="F15" s="139"/>
      <c r="G15" s="126"/>
      <c r="H15" s="126"/>
      <c r="I15" s="126"/>
    </row>
    <row r="16" spans="1:9" s="89" customFormat="1" ht="43.2" x14ac:dyDescent="0.3">
      <c r="A16" s="153" t="s">
        <v>565</v>
      </c>
      <c r="B16" s="126" t="s">
        <v>138</v>
      </c>
      <c r="C16" s="126" t="s">
        <v>468</v>
      </c>
      <c r="D16" s="126" t="s">
        <v>137</v>
      </c>
      <c r="E16" s="139">
        <v>43800</v>
      </c>
      <c r="F16" s="139"/>
      <c r="G16" s="126"/>
      <c r="H16" s="126"/>
      <c r="I16" s="126"/>
    </row>
    <row r="17" spans="1:9" s="89" customFormat="1" ht="57.6" x14ac:dyDescent="0.3">
      <c r="A17" s="153" t="s">
        <v>566</v>
      </c>
      <c r="B17" s="126" t="s">
        <v>477</v>
      </c>
      <c r="C17" s="147" t="s">
        <v>464</v>
      </c>
      <c r="D17" s="126" t="s">
        <v>262</v>
      </c>
      <c r="E17" s="139">
        <v>43556</v>
      </c>
      <c r="F17" s="139">
        <v>43617</v>
      </c>
      <c r="G17" s="126" t="s">
        <v>483</v>
      </c>
      <c r="H17" s="126"/>
      <c r="I17" s="126"/>
    </row>
    <row r="18" spans="1:9" s="89" customFormat="1" ht="14.4" x14ac:dyDescent="0.3">
      <c r="A18" s="90"/>
      <c r="B18" s="90"/>
      <c r="C18" s="90"/>
      <c r="D18" s="90"/>
      <c r="E18" s="90"/>
      <c r="F18" s="90"/>
      <c r="G18" s="90"/>
      <c r="H18" s="90"/>
      <c r="I18" s="90"/>
    </row>
    <row r="19" spans="1:9" s="89" customFormat="1" ht="14.4" x14ac:dyDescent="0.3">
      <c r="A19" s="90"/>
      <c r="B19" s="90"/>
      <c r="C19" s="90"/>
      <c r="D19" s="90"/>
      <c r="E19" s="90"/>
      <c r="F19" s="90"/>
      <c r="G19" s="90"/>
      <c r="H19" s="90"/>
      <c r="I19" s="90"/>
    </row>
    <row r="20" spans="1:9" s="89" customFormat="1" ht="14.4" x14ac:dyDescent="0.3">
      <c r="A20" s="90"/>
      <c r="B20" s="90"/>
      <c r="C20" s="90"/>
      <c r="D20" s="90"/>
      <c r="E20" s="90"/>
      <c r="F20" s="90"/>
      <c r="G20" s="90"/>
      <c r="H20" s="90"/>
      <c r="I20" s="90"/>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5" spans="1:9" ht="23.4" x14ac:dyDescent="0.3">
      <c r="A25" s="201" t="s">
        <v>590</v>
      </c>
      <c r="B25" s="201"/>
      <c r="C25" s="201"/>
      <c r="D25" s="201"/>
      <c r="E25" s="206" t="s">
        <v>592</v>
      </c>
      <c r="F25" s="206"/>
      <c r="G25" s="206"/>
      <c r="H25" s="206"/>
      <c r="I25" s="206"/>
    </row>
    <row r="26" spans="1:9" ht="6.75" customHeight="1" x14ac:dyDescent="0.3"/>
    <row r="27" spans="1:9" ht="23.4" x14ac:dyDescent="0.3">
      <c r="A27" s="201" t="s">
        <v>591</v>
      </c>
      <c r="B27" s="201"/>
      <c r="C27" s="201"/>
      <c r="D27" s="201"/>
      <c r="E27" s="206" t="s">
        <v>589</v>
      </c>
      <c r="F27" s="206"/>
      <c r="G27" s="206"/>
      <c r="H27" s="206"/>
      <c r="I27" s="206"/>
    </row>
  </sheetData>
  <sheetProtection algorithmName="SHA-512" hashValue="CzZ/TNXAHQzA6QZeUA6GvJtt7/Gswbdv3SVPcCXw/leao2e9VBKz321yRU/d/UdFd3nZNNI1pTsjEdQNjA+D6g==" saltValue="HqgjgNBYq0T6wwLDX5T5oQ==" spinCount="100000" sheet="1" objects="1" scenarios="1"/>
  <mergeCells count="6">
    <mergeCell ref="A10:D10"/>
    <mergeCell ref="E10:G10"/>
    <mergeCell ref="A25:D25"/>
    <mergeCell ref="E25:I25"/>
    <mergeCell ref="A27:D27"/>
    <mergeCell ref="E27:I27"/>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0:AG26"/>
  <sheetViews>
    <sheetView view="pageBreakPreview" topLeftCell="R10" zoomScale="60" zoomScaleNormal="80" workbookViewId="0">
      <selection activeCell="T14" sqref="T14"/>
    </sheetView>
  </sheetViews>
  <sheetFormatPr baseColWidth="10" defaultColWidth="11.44140625" defaultRowHeight="15.6" x14ac:dyDescent="0.3"/>
  <cols>
    <col min="1" max="1" width="11.44140625" style="25"/>
    <col min="2" max="5" width="24.44140625" style="25" customWidth="1"/>
    <col min="6" max="6" width="15.33203125" style="25" customWidth="1"/>
    <col min="7" max="7" width="16.5546875" style="25" customWidth="1"/>
    <col min="8" max="8" width="15.44140625" style="25" customWidth="1"/>
    <col min="9" max="9" width="33" style="25" customWidth="1"/>
    <col min="10" max="10" width="20.5546875" style="25" customWidth="1"/>
    <col min="11" max="11" width="14" style="25" hidden="1" customWidth="1"/>
    <col min="12" max="12" width="20.5546875" style="25" customWidth="1"/>
    <col min="13" max="13" width="14" style="25" hidden="1" customWidth="1"/>
    <col min="14" max="14" width="20.5546875" style="25" customWidth="1"/>
    <col min="15" max="15" width="14" style="25" hidden="1" customWidth="1"/>
    <col min="16" max="16" width="20.5546875" style="25" customWidth="1"/>
    <col min="17" max="17" width="14" style="25" hidden="1" customWidth="1"/>
    <col min="18" max="18" width="13.88671875" style="25" bestFit="1" customWidth="1"/>
    <col min="19" max="19" width="14" style="25" hidden="1" customWidth="1"/>
    <col min="20" max="20" width="17.6640625" style="25" customWidth="1"/>
    <col min="21" max="21" width="17.33203125" style="25" customWidth="1"/>
    <col min="22" max="22" width="14.44140625" style="25" customWidth="1"/>
    <col min="23" max="23" width="17.33203125" style="25" customWidth="1"/>
    <col min="24" max="24" width="24.6640625" style="25" customWidth="1"/>
    <col min="25" max="25" width="21.5546875" style="25" customWidth="1"/>
    <col min="26" max="26" width="15.109375" style="25" customWidth="1"/>
    <col min="27" max="27" width="19" style="25" customWidth="1"/>
    <col min="28" max="33" width="11.44140625" style="25" customWidth="1"/>
    <col min="34" max="16384" width="11.44140625" style="25"/>
  </cols>
  <sheetData>
    <row r="10" spans="1:33" ht="23.4" x14ac:dyDescent="0.3">
      <c r="A10" s="201" t="s">
        <v>343</v>
      </c>
      <c r="B10" s="201"/>
      <c r="C10" s="201"/>
      <c r="D10" s="201"/>
      <c r="E10" s="202" t="s">
        <v>353</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78.75" customHeight="1" x14ac:dyDescent="0.3">
      <c r="A15" s="224" t="s">
        <v>165</v>
      </c>
      <c r="B15" s="222" t="s">
        <v>485</v>
      </c>
      <c r="C15" s="36" t="s">
        <v>484</v>
      </c>
      <c r="D15" s="26" t="s">
        <v>204</v>
      </c>
      <c r="E15" s="26" t="s">
        <v>384</v>
      </c>
      <c r="F15" s="24">
        <v>2</v>
      </c>
      <c r="G15" s="24" t="s">
        <v>52</v>
      </c>
      <c r="H15" s="24" t="str">
        <f>INDEX(TABLAS!$B$14:$F$18,MATCH('11-TICS'!F15,TABLAS!$A$14:$A$18,0),MATCH('11-TICS'!G15,TABLAS!$B$13:$F$13,0))</f>
        <v>M</v>
      </c>
      <c r="I15" s="37" t="s">
        <v>495</v>
      </c>
      <c r="J15" s="27" t="s">
        <v>106</v>
      </c>
      <c r="K15" s="27">
        <f>IF(J15="","",VLOOKUP(J15,TABLAS!$A$30:$B$32,2,0))</f>
        <v>2</v>
      </c>
      <c r="L15" s="27" t="s">
        <v>65</v>
      </c>
      <c r="M15" s="27">
        <f>IF(L15="","",VLOOKUP(L15,TABLAS!$C$30:$D$33,2,0))</f>
        <v>3</v>
      </c>
      <c r="N15" s="27" t="s">
        <v>76</v>
      </c>
      <c r="O15" s="27">
        <f>+IF(N15="","",VLOOKUP(N15,TABLAS!$E$30:$F$33,2,0))</f>
        <v>3</v>
      </c>
      <c r="P15" s="27" t="s">
        <v>81</v>
      </c>
      <c r="Q15" s="27">
        <f>+IF(P15="","",VLOOKUP(P15,TABLAS!$G$30:$H$33,2,0))</f>
        <v>3</v>
      </c>
      <c r="R15" s="27" t="s">
        <v>89</v>
      </c>
      <c r="S15" s="27">
        <f>+IF(R15="","",VLOOKUP(R15,TABLAS!$I$30:$J$33,2,0))</f>
        <v>0</v>
      </c>
      <c r="T15" s="27">
        <f t="shared" ref="T15:T21" si="0">IFERROR(K15*25%+M15*10%+O15*25%+Q15*20%+S15*20%,0)</f>
        <v>2.1500000000000004</v>
      </c>
      <c r="U15" s="24">
        <f t="shared" ref="U15:U22" si="1">+IF(T15&gt;=2.2,F15-1,F15)</f>
        <v>2</v>
      </c>
      <c r="V15" s="24" t="s">
        <v>52</v>
      </c>
      <c r="W15" s="24" t="str">
        <f>INDEX(TABLAS!$B$14:$F$18,MATCH('11-TICS'!U15,TABLAS!$A$14:$A$18,0),MATCH('11-TICS'!V15,TABLAS!$B$13:$F$13,0))</f>
        <v>M</v>
      </c>
      <c r="X15" s="26" t="str">
        <f>+VLOOKUP(W15,TABLAS!$A$22:$B$25,2,0)</f>
        <v>Asumir, mitigar el riesgo</v>
      </c>
      <c r="Y15" s="37"/>
      <c r="Z15" s="37" t="s">
        <v>119</v>
      </c>
      <c r="AA15" s="38" t="s">
        <v>132</v>
      </c>
      <c r="AB15" s="24" t="s">
        <v>36</v>
      </c>
      <c r="AC15" s="24"/>
      <c r="AD15" s="24"/>
      <c r="AE15" s="24"/>
      <c r="AF15" s="24"/>
      <c r="AG15" s="24"/>
    </row>
    <row r="16" spans="1:33" ht="62.4" x14ac:dyDescent="0.3">
      <c r="A16" s="227"/>
      <c r="B16" s="226"/>
      <c r="C16" s="36" t="s">
        <v>486</v>
      </c>
      <c r="D16" s="26" t="s">
        <v>205</v>
      </c>
      <c r="E16" s="26" t="s">
        <v>384</v>
      </c>
      <c r="F16" s="24">
        <v>2</v>
      </c>
      <c r="G16" s="24" t="s">
        <v>52</v>
      </c>
      <c r="H16" s="24" t="str">
        <f>INDEX(TABLAS!$B$14:$F$18,MATCH('11-TICS'!F16,TABLAS!$A$14:$A$18,0),MATCH('11-TICS'!G16,TABLAS!$B$13:$F$13,0))</f>
        <v>M</v>
      </c>
      <c r="I16" s="37" t="s">
        <v>487</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88</v>
      </c>
      <c r="S16" s="27">
        <f>+IF(R16="","",VLOOKUP(R16,TABLAS!$I$30:$J$33,2,0))</f>
        <v>2</v>
      </c>
      <c r="T16" s="27">
        <f t="shared" si="0"/>
        <v>2.3000000000000003</v>
      </c>
      <c r="U16" s="24">
        <f t="shared" si="1"/>
        <v>1</v>
      </c>
      <c r="V16" s="24" t="s">
        <v>51</v>
      </c>
      <c r="W16" s="24" t="str">
        <f>INDEX(TABLAS!$B$14:$F$18,MATCH('11-TICS'!U16,TABLAS!$A$14:$A$18,0),MATCH('11-TICS'!V16,TABLAS!$B$13:$F$13,0))</f>
        <v>B</v>
      </c>
      <c r="X16" s="26" t="str">
        <f>+VLOOKUP(W16,TABLAS!$A$22:$B$25,2,0)</f>
        <v>Asumir y monitoreo</v>
      </c>
      <c r="Y16" s="37"/>
      <c r="Z16" s="37" t="s">
        <v>119</v>
      </c>
      <c r="AA16" s="38" t="s">
        <v>488</v>
      </c>
      <c r="AB16" s="24" t="s">
        <v>36</v>
      </c>
      <c r="AC16" s="24"/>
      <c r="AD16" s="24"/>
      <c r="AE16" s="24"/>
      <c r="AF16" s="24"/>
      <c r="AG16" s="24"/>
    </row>
    <row r="17" spans="1:33" s="137" customFormat="1" ht="31.2" x14ac:dyDescent="0.3">
      <c r="A17" s="227"/>
      <c r="B17" s="226"/>
      <c r="C17" s="36" t="s">
        <v>501</v>
      </c>
      <c r="D17" s="26" t="s">
        <v>204</v>
      </c>
      <c r="E17" s="26" t="s">
        <v>385</v>
      </c>
      <c r="F17" s="24">
        <v>2</v>
      </c>
      <c r="G17" s="24" t="s">
        <v>52</v>
      </c>
      <c r="H17" s="24" t="str">
        <f>INDEX(TABLAS!$B$14:$F$18,MATCH('11-TICS'!F17,TABLAS!$A$14:$A$18,0),MATCH('11-TICS'!G17,TABLAS!$B$13:$F$13,0))</f>
        <v>M</v>
      </c>
      <c r="I17" s="37" t="s">
        <v>502</v>
      </c>
      <c r="J17" s="27" t="s">
        <v>68</v>
      </c>
      <c r="K17" s="27">
        <f>IF(J17="","",VLOOKUP(J17,TABLAS!$A$30:$B$32,2,0))</f>
        <v>3</v>
      </c>
      <c r="L17" s="27" t="s">
        <v>65</v>
      </c>
      <c r="M17" s="27">
        <f>IF(L17="","",VLOOKUP(L17,TABLAS!$C$30:$D$33,2,0))</f>
        <v>3</v>
      </c>
      <c r="N17" s="27" t="s">
        <v>76</v>
      </c>
      <c r="O17" s="27">
        <f>+IF(N17="","",VLOOKUP(N17,TABLAS!$E$30:$F$33,2,0))</f>
        <v>3</v>
      </c>
      <c r="P17" s="27" t="s">
        <v>81</v>
      </c>
      <c r="Q17" s="27">
        <f>+IF(P17="","",VLOOKUP(P17,TABLAS!$G$30:$H$33,2,0))</f>
        <v>3</v>
      </c>
      <c r="R17" s="27" t="s">
        <v>86</v>
      </c>
      <c r="S17" s="27">
        <f>+IF(R17="","",VLOOKUP(R17,TABLAS!$I$30:$J$33,2,0))</f>
        <v>3</v>
      </c>
      <c r="T17" s="27">
        <f>IFERROR(K17*25%+M17*10%+O17*25%+Q17*20%+S17*20%,0)</f>
        <v>3.0000000000000004</v>
      </c>
      <c r="U17" s="24">
        <f>+IF(T17&gt;=2.2,F17-1,F17)</f>
        <v>1</v>
      </c>
      <c r="V17" s="24" t="s">
        <v>51</v>
      </c>
      <c r="W17" s="24" t="str">
        <f>INDEX(TABLAS!$B$14:$F$18,MATCH('11-TICS'!U17,TABLAS!$A$14:$A$18,0),MATCH('11-TICS'!V17,TABLAS!$B$13:$F$13,0))</f>
        <v>B</v>
      </c>
      <c r="X17" s="26" t="str">
        <f>+VLOOKUP(W17,TABLAS!$A$22:$B$25,2,0)</f>
        <v>Asumir y monitoreo</v>
      </c>
      <c r="Y17" s="37"/>
      <c r="Z17" s="37" t="s">
        <v>119</v>
      </c>
      <c r="AA17" s="38" t="s">
        <v>132</v>
      </c>
      <c r="AB17" s="24" t="s">
        <v>36</v>
      </c>
      <c r="AC17" s="24"/>
      <c r="AD17" s="24"/>
      <c r="AE17" s="24"/>
      <c r="AF17" s="24"/>
      <c r="AG17" s="24"/>
    </row>
    <row r="18" spans="1:33" s="137" customFormat="1" ht="109.2" x14ac:dyDescent="0.3">
      <c r="A18" s="225"/>
      <c r="B18" s="223"/>
      <c r="C18" s="36" t="s">
        <v>131</v>
      </c>
      <c r="D18" s="26" t="s">
        <v>204</v>
      </c>
      <c r="E18" s="26" t="s">
        <v>385</v>
      </c>
      <c r="F18" s="24">
        <v>2</v>
      </c>
      <c r="G18" s="24" t="s">
        <v>52</v>
      </c>
      <c r="H18" s="24" t="str">
        <f>INDEX(TABLAS!$B$14:$F$18,MATCH('11-TICS'!F18,TABLAS!$A$14:$A$18,0),MATCH('11-TICS'!G18,TABLAS!$B$13:$F$13,0))</f>
        <v>M</v>
      </c>
      <c r="I18" s="37" t="s">
        <v>34</v>
      </c>
      <c r="J18" s="27" t="s">
        <v>69</v>
      </c>
      <c r="K18" s="27">
        <f>IF(J18="","",VLOOKUP(J18,TABLAS!$A$30:$B$32,2,0))</f>
        <v>1</v>
      </c>
      <c r="L18" s="27" t="s">
        <v>65</v>
      </c>
      <c r="M18" s="27">
        <f>IF(L18="","",VLOOKUP(L18,TABLAS!$C$30:$D$33,2,0))</f>
        <v>3</v>
      </c>
      <c r="N18" s="27" t="s">
        <v>77</v>
      </c>
      <c r="O18" s="27">
        <f>+IF(N18="","",VLOOKUP(N18,TABLAS!$E$30:$F$33,2,0))</f>
        <v>2</v>
      </c>
      <c r="P18" s="27" t="s">
        <v>81</v>
      </c>
      <c r="Q18" s="27">
        <f>+IF(P18="","",VLOOKUP(P18,TABLAS!$G$30:$H$33,2,0))</f>
        <v>3</v>
      </c>
      <c r="R18" s="27" t="s">
        <v>89</v>
      </c>
      <c r="S18" s="27">
        <f>+IF(R18="","",VLOOKUP(R18,TABLAS!$I$30:$J$33,2,0))</f>
        <v>0</v>
      </c>
      <c r="T18" s="27">
        <f>IFERROR(K18*25%+M18*10%+O18*25%+Q18*20%+S18*20%,0)</f>
        <v>1.6500000000000001</v>
      </c>
      <c r="U18" s="24">
        <f>+IF(T18&gt;=2.2,F18-1,F18)</f>
        <v>2</v>
      </c>
      <c r="V18" s="24" t="s">
        <v>51</v>
      </c>
      <c r="W18" s="24" t="str">
        <f>INDEX(TABLAS!$B$14:$F$18,MATCH('11-TICS'!U18,TABLAS!$A$14:$A$18,0),MATCH('11-TICS'!V18,TABLAS!$B$13:$F$13,0))</f>
        <v>B</v>
      </c>
      <c r="X18" s="26" t="str">
        <f>+VLOOKUP(W18,TABLAS!$A$22:$B$25,2,0)</f>
        <v>Asumir y monitoreo</v>
      </c>
      <c r="Y18" s="37" t="s">
        <v>35</v>
      </c>
      <c r="Z18" s="37" t="s">
        <v>119</v>
      </c>
      <c r="AA18" s="38">
        <v>43800</v>
      </c>
      <c r="AB18" s="24" t="s">
        <v>36</v>
      </c>
      <c r="AC18" s="24"/>
      <c r="AD18" s="24"/>
      <c r="AE18" s="24"/>
      <c r="AF18" s="24"/>
      <c r="AG18" s="24"/>
    </row>
    <row r="19" spans="1:33" ht="46.8" x14ac:dyDescent="0.3">
      <c r="A19" s="224" t="s">
        <v>166</v>
      </c>
      <c r="B19" s="222" t="s">
        <v>496</v>
      </c>
      <c r="C19" s="36" t="s">
        <v>267</v>
      </c>
      <c r="D19" s="26" t="s">
        <v>205</v>
      </c>
      <c r="E19" s="26" t="s">
        <v>384</v>
      </c>
      <c r="F19" s="24">
        <v>2</v>
      </c>
      <c r="G19" s="24" t="s">
        <v>52</v>
      </c>
      <c r="H19" s="24" t="str">
        <f>INDEX(TABLAS!$B$14:$F$18,MATCH('11-TICS'!F19,TABLAS!$A$14:$A$18,0),MATCH('11-TICS'!G19,TABLAS!$B$13:$F$13,0))</f>
        <v>M</v>
      </c>
      <c r="I19" s="37" t="s">
        <v>489</v>
      </c>
      <c r="J19" s="27" t="s">
        <v>69</v>
      </c>
      <c r="K19" s="27">
        <f>IF(J19="","",VLOOKUP(J19,TABLAS!$A$30:$B$32,2,0))</f>
        <v>1</v>
      </c>
      <c r="L19" s="27" t="s">
        <v>65</v>
      </c>
      <c r="M19" s="27">
        <f>IF(L19="","",VLOOKUP(L19,TABLAS!$C$30:$D$33,2,0))</f>
        <v>3</v>
      </c>
      <c r="N19" s="27" t="s">
        <v>77</v>
      </c>
      <c r="O19" s="27">
        <f>+IF(N19="","",VLOOKUP(N19,TABLAS!$E$30:$F$33,2,0))</f>
        <v>2</v>
      </c>
      <c r="P19" s="27" t="s">
        <v>81</v>
      </c>
      <c r="Q19" s="27">
        <f>+IF(P19="","",VLOOKUP(P19,TABLAS!$G$30:$H$33,2,0))</f>
        <v>3</v>
      </c>
      <c r="R19" s="27" t="s">
        <v>89</v>
      </c>
      <c r="S19" s="27">
        <f>+IF(R19="","",VLOOKUP(R19,TABLAS!$I$30:$J$33,2,0))</f>
        <v>0</v>
      </c>
      <c r="T19" s="27">
        <f t="shared" si="0"/>
        <v>1.6500000000000001</v>
      </c>
      <c r="U19" s="24">
        <f t="shared" si="1"/>
        <v>2</v>
      </c>
      <c r="V19" s="24" t="s">
        <v>52</v>
      </c>
      <c r="W19" s="24" t="str">
        <f>INDEX(TABLAS!$B$14:$F$18,MATCH('11-TICS'!U19,TABLAS!$A$14:$A$18,0),MATCH('11-TICS'!V19,TABLAS!$B$13:$F$13,0))</f>
        <v>M</v>
      </c>
      <c r="X19" s="26" t="str">
        <f>+VLOOKUP(W19,TABLAS!$A$22:$B$25,2,0)</f>
        <v>Asumir, mitigar el riesgo</v>
      </c>
      <c r="Y19" s="37"/>
      <c r="Z19" s="37" t="s">
        <v>119</v>
      </c>
      <c r="AA19" s="38" t="s">
        <v>132</v>
      </c>
      <c r="AB19" s="24" t="s">
        <v>36</v>
      </c>
      <c r="AC19" s="24"/>
      <c r="AD19" s="24"/>
      <c r="AE19" s="24"/>
      <c r="AF19" s="24"/>
      <c r="AG19" s="24"/>
    </row>
    <row r="20" spans="1:33" ht="62.4" x14ac:dyDescent="0.3">
      <c r="A20" s="225"/>
      <c r="B20" s="223"/>
      <c r="C20" s="36" t="s">
        <v>490</v>
      </c>
      <c r="D20" s="26" t="s">
        <v>205</v>
      </c>
      <c r="E20" s="26" t="s">
        <v>384</v>
      </c>
      <c r="F20" s="24">
        <v>2</v>
      </c>
      <c r="G20" s="24" t="s">
        <v>52</v>
      </c>
      <c r="H20" s="24" t="str">
        <f>INDEX(TABLAS!$B$14:$F$18,MATCH('11-TICS'!F20,TABLAS!$A$14:$A$18,0),MATCH('11-TICS'!G20,TABLAS!$B$13:$F$13,0))</f>
        <v>M</v>
      </c>
      <c r="I20" s="37" t="s">
        <v>491</v>
      </c>
      <c r="J20" s="27" t="s">
        <v>69</v>
      </c>
      <c r="K20" s="27">
        <f>IF(J20="","",VLOOKUP(J20,TABLAS!$A$30:$B$32,2,0))</f>
        <v>1</v>
      </c>
      <c r="L20" s="27" t="s">
        <v>65</v>
      </c>
      <c r="M20" s="27">
        <f>IF(L20="","",VLOOKUP(L20,TABLAS!$C$30:$D$33,2,0))</f>
        <v>3</v>
      </c>
      <c r="N20" s="27" t="s">
        <v>77</v>
      </c>
      <c r="O20" s="27">
        <f>+IF(N20="","",VLOOKUP(N20,TABLAS!$E$30:$F$33,2,0))</f>
        <v>2</v>
      </c>
      <c r="P20" s="27" t="s">
        <v>81</v>
      </c>
      <c r="Q20" s="27">
        <f>+IF(P20="","",VLOOKUP(P20,TABLAS!$G$30:$H$33,2,0))</f>
        <v>3</v>
      </c>
      <c r="R20" s="27" t="s">
        <v>89</v>
      </c>
      <c r="S20" s="27">
        <f>+IF(R20="","",VLOOKUP(R20,TABLAS!$I$30:$J$33,2,0))</f>
        <v>0</v>
      </c>
      <c r="T20" s="27">
        <f t="shared" si="0"/>
        <v>1.6500000000000001</v>
      </c>
      <c r="U20" s="24">
        <f t="shared" si="1"/>
        <v>2</v>
      </c>
      <c r="V20" s="24" t="s">
        <v>53</v>
      </c>
      <c r="W20" s="24" t="str">
        <f>INDEX(TABLAS!$B$14:$F$18,MATCH('11-TICS'!U20,TABLAS!$A$14:$A$18,0),MATCH('11-TICS'!V20,TABLAS!$B$13:$F$13,0))</f>
        <v>A</v>
      </c>
      <c r="X20" s="26" t="str">
        <f>+VLOOKUP(W20,TABLAS!$A$22:$B$25,2,0)</f>
        <v>Plan de Acción para mitigar, evitar, compartir o transferir el riesgo.</v>
      </c>
      <c r="Y20" s="37"/>
      <c r="Z20" s="37" t="s">
        <v>119</v>
      </c>
      <c r="AA20" s="38" t="s">
        <v>492</v>
      </c>
      <c r="AB20" s="24" t="s">
        <v>36</v>
      </c>
      <c r="AC20" s="24"/>
      <c r="AD20" s="24"/>
      <c r="AE20" s="24"/>
      <c r="AF20" s="24"/>
      <c r="AG20" s="24"/>
    </row>
    <row r="21" spans="1:33" ht="78" x14ac:dyDescent="0.3">
      <c r="A21" s="42" t="s">
        <v>167</v>
      </c>
      <c r="B21" s="36" t="s">
        <v>493</v>
      </c>
      <c r="C21" s="36" t="s">
        <v>268</v>
      </c>
      <c r="D21" s="26" t="s">
        <v>205</v>
      </c>
      <c r="E21" s="26" t="s">
        <v>384</v>
      </c>
      <c r="F21" s="24">
        <v>2</v>
      </c>
      <c r="G21" s="24" t="s">
        <v>52</v>
      </c>
      <c r="H21" s="24" t="str">
        <f>INDEX(TABLAS!$B$14:$F$18,MATCH('11-TICS'!F21,TABLAS!$A$14:$A$18,0),MATCH('11-TICS'!G21,TABLAS!$B$13:$F$13,0))</f>
        <v>M</v>
      </c>
      <c r="I21" s="37" t="s">
        <v>494</v>
      </c>
      <c r="J21" s="27" t="s">
        <v>69</v>
      </c>
      <c r="K21" s="27">
        <f>IF(J21="","",VLOOKUP(J21,TABLAS!$A$30:$B$32,2,0))</f>
        <v>1</v>
      </c>
      <c r="L21" s="27" t="s">
        <v>65</v>
      </c>
      <c r="M21" s="27">
        <f>IF(L21="","",VLOOKUP(L21,TABLAS!$C$30:$D$33,2,0))</f>
        <v>3</v>
      </c>
      <c r="N21" s="27" t="s">
        <v>77</v>
      </c>
      <c r="O21" s="27">
        <f>+IF(N21="","",VLOOKUP(N21,TABLAS!$E$30:$F$33,2,0))</f>
        <v>2</v>
      </c>
      <c r="P21" s="27" t="s">
        <v>81</v>
      </c>
      <c r="Q21" s="27">
        <f>+IF(P21="","",VLOOKUP(P21,TABLAS!$G$30:$H$33,2,0))</f>
        <v>3</v>
      </c>
      <c r="R21" s="27" t="s">
        <v>89</v>
      </c>
      <c r="S21" s="27">
        <f>+IF(R21="","",VLOOKUP(R21,TABLAS!$I$30:$J$33,2,0))</f>
        <v>0</v>
      </c>
      <c r="T21" s="27">
        <f t="shared" si="0"/>
        <v>1.6500000000000001</v>
      </c>
      <c r="U21" s="24">
        <f t="shared" si="1"/>
        <v>2</v>
      </c>
      <c r="V21" s="24" t="s">
        <v>52</v>
      </c>
      <c r="W21" s="24" t="str">
        <f>INDEX(TABLAS!$B$14:$F$18,MATCH('11-TICS'!U21,TABLAS!$A$14:$A$18,0),MATCH('11-TICS'!V21,TABLAS!$B$13:$F$13,0))</f>
        <v>M</v>
      </c>
      <c r="X21" s="26" t="str">
        <f>+VLOOKUP(W21,TABLAS!$A$22:$B$25,2,0)</f>
        <v>Asumir, mitigar el riesgo</v>
      </c>
      <c r="Y21" s="37"/>
      <c r="Z21" s="37" t="s">
        <v>269</v>
      </c>
      <c r="AA21" s="38" t="s">
        <v>488</v>
      </c>
      <c r="AB21" s="24" t="s">
        <v>36</v>
      </c>
      <c r="AC21" s="24"/>
      <c r="AD21" s="24"/>
      <c r="AE21" s="24"/>
      <c r="AF21" s="24"/>
      <c r="AG21" s="24"/>
    </row>
    <row r="22" spans="1:33" s="137" customFormat="1" ht="62.4" x14ac:dyDescent="0.3">
      <c r="A22" s="138" t="s">
        <v>168</v>
      </c>
      <c r="B22" s="36" t="s">
        <v>497</v>
      </c>
      <c r="C22" s="36" t="s">
        <v>498</v>
      </c>
      <c r="D22" s="92" t="s">
        <v>375</v>
      </c>
      <c r="E22" s="92" t="s">
        <v>386</v>
      </c>
      <c r="F22" s="24">
        <v>1</v>
      </c>
      <c r="G22" s="24" t="s">
        <v>54</v>
      </c>
      <c r="H22" s="24" t="str">
        <f>INDEX(TABLAS!$B$14:$F$18,MATCH('11-TICS'!F22,TABLAS!$A$14:$A$18,0),MATCH('11-TICS'!G22,TABLAS!$B$13:$F$13,0))</f>
        <v>A</v>
      </c>
      <c r="I22" s="37" t="s">
        <v>499</v>
      </c>
      <c r="J22" s="27" t="s">
        <v>68</v>
      </c>
      <c r="K22" s="27"/>
      <c r="L22" s="27" t="s">
        <v>65</v>
      </c>
      <c r="M22" s="27"/>
      <c r="N22" s="27" t="s">
        <v>76</v>
      </c>
      <c r="O22" s="27"/>
      <c r="P22" s="27" t="s">
        <v>81</v>
      </c>
      <c r="Q22" s="27"/>
      <c r="R22" s="27" t="s">
        <v>86</v>
      </c>
      <c r="S22" s="27"/>
      <c r="T22" s="27">
        <f>IFERROR(K21*25%+M21*10%+O21*25%+Q21*20%+S21*20%,0)</f>
        <v>1.6500000000000001</v>
      </c>
      <c r="U22" s="24">
        <f t="shared" si="1"/>
        <v>1</v>
      </c>
      <c r="V22" s="24" t="s">
        <v>53</v>
      </c>
      <c r="W22" s="24" t="str">
        <f>INDEX(TABLAS!$B$14:$F$18,MATCH('11-TICS'!U22,TABLAS!$A$14:$A$18,0),MATCH('11-TICS'!V22,TABLAS!$B$13:$F$13,0))</f>
        <v>A</v>
      </c>
      <c r="X22" s="92" t="str">
        <f>+VLOOKUP(W22,TABLAS!$A$22:$B$25,2,0)</f>
        <v>Plan de Acción para mitigar, evitar, compartir o transferir el riesgo.</v>
      </c>
      <c r="Y22" s="37" t="s">
        <v>500</v>
      </c>
      <c r="Z22" s="37" t="s">
        <v>269</v>
      </c>
      <c r="AA22" s="38">
        <v>43800</v>
      </c>
      <c r="AB22" s="24"/>
      <c r="AC22" s="24"/>
      <c r="AD22" s="24"/>
      <c r="AE22" s="24"/>
      <c r="AF22" s="24"/>
      <c r="AG22" s="24"/>
    </row>
    <row r="24" spans="1:33" ht="23.4" x14ac:dyDescent="0.3">
      <c r="A24" s="201" t="s">
        <v>587</v>
      </c>
      <c r="B24" s="201"/>
      <c r="C24" s="201"/>
      <c r="D24" s="201"/>
      <c r="E24" s="206" t="s">
        <v>549</v>
      </c>
      <c r="F24" s="206"/>
      <c r="G24" s="206"/>
      <c r="H24" s="206"/>
      <c r="I24" s="206"/>
    </row>
    <row r="25" spans="1:33" ht="6.75" customHeight="1" x14ac:dyDescent="0.3">
      <c r="E25" s="145"/>
      <c r="F25" s="145"/>
      <c r="G25" s="145"/>
      <c r="H25" s="145"/>
      <c r="I25" s="145"/>
    </row>
    <row r="26" spans="1:33" ht="23.4" x14ac:dyDescent="0.3">
      <c r="A26" s="201" t="s">
        <v>588</v>
      </c>
      <c r="B26" s="201"/>
      <c r="C26" s="201"/>
      <c r="D26" s="201"/>
      <c r="E26" s="206" t="s">
        <v>589</v>
      </c>
      <c r="F26" s="206"/>
      <c r="G26" s="206"/>
      <c r="H26" s="206"/>
      <c r="I26" s="206"/>
    </row>
  </sheetData>
  <sheetProtection algorithmName="SHA-512" hashValue="hghY1EcVR+vbpyQcBggQHdYLGybjIRud2racCmlV2Lmqs8xqcP7hZZzaN2ePOvw+C79rcifAlxUUknUIdmbXvw==" saltValue="cfYfFSImmgn9aJNSEy5Jlw==" spinCount="100000" sheet="1" objects="1" scenarios="1"/>
  <mergeCells count="23">
    <mergeCell ref="A24:D24"/>
    <mergeCell ref="E24:I24"/>
    <mergeCell ref="A26:D26"/>
    <mergeCell ref="E26:I26"/>
    <mergeCell ref="Z13:Z14"/>
    <mergeCell ref="A12:A14"/>
    <mergeCell ref="B12:E13"/>
    <mergeCell ref="B19:B20"/>
    <mergeCell ref="A19:A20"/>
    <mergeCell ref="B15:B18"/>
    <mergeCell ref="A15:A18"/>
    <mergeCell ref="A10:D10"/>
    <mergeCell ref="E10:G10"/>
    <mergeCell ref="AA13:AA14"/>
    <mergeCell ref="AB12:AG13"/>
    <mergeCell ref="F12:H12"/>
    <mergeCell ref="F13:G13"/>
    <mergeCell ref="X13:X14"/>
    <mergeCell ref="X12:AA12"/>
    <mergeCell ref="Y13:Y14"/>
    <mergeCell ref="I12:T13"/>
    <mergeCell ref="U12:V13"/>
    <mergeCell ref="W12:W13"/>
  </mergeCells>
  <conditionalFormatting sqref="W15:W22 H17:H22">
    <cfRule type="expression" dxfId="31" priority="21" stopIfTrue="1">
      <formula>H15="E"</formula>
    </cfRule>
    <cfRule type="expression" dxfId="30" priority="22" stopIfTrue="1">
      <formula>H15="M"</formula>
    </cfRule>
    <cfRule type="expression" dxfId="29" priority="23" stopIfTrue="1">
      <formula>H15="B"</formula>
    </cfRule>
    <cfRule type="expression" dxfId="28" priority="25" stopIfTrue="1">
      <formula>H15="A"</formula>
    </cfRule>
  </conditionalFormatting>
  <conditionalFormatting sqref="H15:H16">
    <cfRule type="expression" dxfId="27" priority="5" stopIfTrue="1">
      <formula>H15="E"</formula>
    </cfRule>
    <cfRule type="expression" dxfId="26" priority="6" stopIfTrue="1">
      <formula>H15="M"</formula>
    </cfRule>
    <cfRule type="expression" dxfId="25" priority="7" stopIfTrue="1">
      <formula>H15="B"</formula>
    </cfRule>
    <cfRule type="expression" dxfId="24" priority="8" stopIfTrue="1">
      <formula>H15="A"</formula>
    </cfRule>
  </conditionalFormatting>
  <pageMargins left="0.7" right="0.7" top="0.75" bottom="0.75" header="0.3" footer="0.3"/>
  <pageSetup paperSize="9" scale="1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 8">
              <controlPr defaultSize="0" print="0" uiObject="1" autoLine="0" autoPict="0">
                <anchor moveWithCells="1" sizeWithCells="1">
                  <from>
                    <xdr:col>14</xdr:col>
                    <xdr:colOff>0</xdr:colOff>
                    <xdr:row>14</xdr:row>
                    <xdr:rowOff>0</xdr:rowOff>
                  </from>
                  <to>
                    <xdr:col>17</xdr:col>
                    <xdr:colOff>182880</xdr:colOff>
                    <xdr:row>14</xdr:row>
                    <xdr:rowOff>0</xdr:rowOff>
                  </to>
                </anchor>
              </controlPr>
            </control>
          </mc:Choice>
        </mc:AlternateContent>
        <mc:AlternateContent xmlns:mc="http://schemas.openxmlformats.org/markup-compatibility/2006">
          <mc:Choice Requires="x14">
            <control shapeId="2057" r:id="rId5" name=" 9">
              <controlPr defaultSize="0" print="0" uiObject="1" autoLine="0" autoPict="0">
                <anchor moveWithCells="1" sizeWithCells="1">
                  <from>
                    <xdr:col>9</xdr:col>
                    <xdr:colOff>0</xdr:colOff>
                    <xdr:row>14</xdr:row>
                    <xdr:rowOff>0</xdr:rowOff>
                  </from>
                  <to>
                    <xdr:col>11</xdr:col>
                    <xdr:colOff>182880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500-000000000000}">
          <x14:formula1>
            <xm:f>TABLAS!$A$14:$A$18</xm:f>
          </x14:formula1>
          <xm:sqref>F15:F22</xm:sqref>
        </x14:dataValidation>
        <x14:dataValidation type="list" allowBlank="1" showInputMessage="1" showErrorMessage="1" xr:uid="{00000000-0002-0000-1500-000001000000}">
          <x14:formula1>
            <xm:f>TABLAS!$B$13:$F$13</xm:f>
          </x14:formula1>
          <xm:sqref>G15:G22 V15:V22</xm:sqref>
        </x14:dataValidation>
        <x14:dataValidation type="list" allowBlank="1" showInputMessage="1" showErrorMessage="1" xr:uid="{00000000-0002-0000-1500-000002000000}">
          <x14:formula1>
            <xm:f>TABLAS!$A$30:$A$32</xm:f>
          </x14:formula1>
          <xm:sqref>J15:J22</xm:sqref>
        </x14:dataValidation>
        <x14:dataValidation type="list" allowBlank="1" showInputMessage="1" showErrorMessage="1" xr:uid="{00000000-0002-0000-1500-000003000000}">
          <x14:formula1>
            <xm:f>TABLAS!$C$30:$C$33</xm:f>
          </x14:formula1>
          <xm:sqref>L15:L22</xm:sqref>
        </x14:dataValidation>
        <x14:dataValidation type="list" allowBlank="1" showInputMessage="1" showErrorMessage="1" xr:uid="{00000000-0002-0000-1500-000004000000}">
          <x14:formula1>
            <xm:f>TABLAS!$E$30:$E$33</xm:f>
          </x14:formula1>
          <xm:sqref>N15:N22</xm:sqref>
        </x14:dataValidation>
        <x14:dataValidation type="list" allowBlank="1" showInputMessage="1" showErrorMessage="1" xr:uid="{00000000-0002-0000-1500-000005000000}">
          <x14:formula1>
            <xm:f>TABLAS!$G$30:$G$33</xm:f>
          </x14:formula1>
          <xm:sqref>P15:P22</xm:sqref>
        </x14:dataValidation>
        <x14:dataValidation type="list" allowBlank="1" showInputMessage="1" showErrorMessage="1" xr:uid="{00000000-0002-0000-1500-000006000000}">
          <x14:formula1>
            <xm:f>TABLAS!$I$30:$I$33</xm:f>
          </x14:formula1>
          <xm:sqref>R15:R22</xm:sqref>
        </x14:dataValidation>
        <x14:dataValidation type="list" allowBlank="1" showInputMessage="1" showErrorMessage="1" xr:uid="{00000000-0002-0000-1500-000007000000}">
          <x14:formula1>
            <xm:f>TABLAS!$A$44:$A$52</xm:f>
          </x14:formula1>
          <xm:sqref>D15:D22</xm:sqref>
        </x14:dataValidation>
        <x14:dataValidation type="list" allowBlank="1" showInputMessage="1" showErrorMessage="1" xr:uid="{00000000-0002-0000-1500-000008000000}">
          <x14:formula1>
            <xm:f>TABLAS!$B$44:$B$52</xm:f>
          </x14:formula1>
          <xm:sqref>E15:E22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34998626667073579"/>
  </sheetPr>
  <dimension ref="A10:S31"/>
  <sheetViews>
    <sheetView view="pageBreakPreview" topLeftCell="C10" zoomScale="60" zoomScaleNormal="90" workbookViewId="0">
      <selection activeCell="L28" sqref="L28"/>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353</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28.8" x14ac:dyDescent="0.3">
      <c r="A13" s="153" t="s">
        <v>451</v>
      </c>
      <c r="B13" s="126" t="s">
        <v>509</v>
      </c>
      <c r="C13" s="126" t="s">
        <v>468</v>
      </c>
      <c r="D13" s="126" t="s">
        <v>548</v>
      </c>
      <c r="E13" s="139">
        <v>43831</v>
      </c>
      <c r="F13" s="152">
        <v>43891</v>
      </c>
      <c r="G13" s="126" t="s">
        <v>606</v>
      </c>
      <c r="H13" s="126"/>
      <c r="I13" s="126"/>
    </row>
    <row r="14" spans="1:9" s="89" customFormat="1" ht="43.2" x14ac:dyDescent="0.3">
      <c r="A14" s="153" t="s">
        <v>554</v>
      </c>
      <c r="B14" s="126" t="s">
        <v>500</v>
      </c>
      <c r="C14" s="126" t="s">
        <v>468</v>
      </c>
      <c r="D14" s="126" t="s">
        <v>548</v>
      </c>
      <c r="E14" s="139">
        <v>43800</v>
      </c>
      <c r="F14" s="152">
        <v>43800</v>
      </c>
      <c r="G14" s="126" t="s">
        <v>600</v>
      </c>
      <c r="H14" s="126"/>
      <c r="I14" s="126"/>
    </row>
    <row r="15" spans="1:9" s="89" customFormat="1" ht="14.4" x14ac:dyDescent="0.3">
      <c r="A15" s="126"/>
      <c r="B15" s="126"/>
      <c r="C15" s="14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26"/>
      <c r="G17" s="126"/>
      <c r="H17" s="126"/>
      <c r="I17" s="126"/>
    </row>
    <row r="18" spans="1:9" s="89" customFormat="1" ht="14.4" x14ac:dyDescent="0.3">
      <c r="A18" s="126"/>
      <c r="B18" s="126"/>
      <c r="C18" s="126"/>
      <c r="D18" s="126"/>
      <c r="E18" s="139"/>
      <c r="F18" s="126"/>
      <c r="G18" s="126"/>
      <c r="H18" s="126"/>
      <c r="I18" s="126"/>
    </row>
    <row r="19" spans="1:9" s="89" customFormat="1" ht="14.4" x14ac:dyDescent="0.3">
      <c r="A19" s="126"/>
      <c r="B19" s="126"/>
      <c r="C19" s="126"/>
      <c r="D19" s="126"/>
      <c r="E19" s="139"/>
      <c r="F19" s="126"/>
      <c r="G19" s="126"/>
      <c r="H19" s="126"/>
      <c r="I19" s="126"/>
    </row>
    <row r="20" spans="1:9" s="89" customFormat="1" ht="14.4" x14ac:dyDescent="0.3">
      <c r="A20" s="126"/>
      <c r="B20" s="126"/>
      <c r="C20" s="126"/>
      <c r="D20" s="126"/>
      <c r="E20" s="139"/>
      <c r="F20" s="126"/>
      <c r="G20" s="126"/>
      <c r="H20" s="126"/>
      <c r="I20" s="126"/>
    </row>
    <row r="21" spans="1:9" s="89" customFormat="1" ht="14.4" x14ac:dyDescent="0.3">
      <c r="A21" s="126"/>
      <c r="B21" s="126"/>
      <c r="C21" s="126"/>
      <c r="D21" s="126"/>
      <c r="E21" s="139"/>
      <c r="F21" s="126"/>
      <c r="G21" s="126"/>
      <c r="H21" s="126"/>
      <c r="I21" s="126"/>
    </row>
    <row r="22" spans="1:9" s="89" customFormat="1" ht="14.4" x14ac:dyDescent="0.3">
      <c r="A22" s="126"/>
      <c r="B22" s="126"/>
      <c r="C22" s="126"/>
      <c r="D22" s="126"/>
      <c r="E22" s="139"/>
      <c r="F22" s="126"/>
      <c r="G22" s="126"/>
      <c r="H22" s="126"/>
      <c r="I22" s="126"/>
    </row>
    <row r="23" spans="1:9" s="89" customFormat="1" ht="14.4" x14ac:dyDescent="0.3">
      <c r="A23" s="126"/>
      <c r="B23" s="126"/>
      <c r="C23" s="126"/>
      <c r="D23" s="126"/>
      <c r="E23" s="139"/>
      <c r="F23" s="126"/>
      <c r="G23" s="126"/>
      <c r="H23" s="126"/>
      <c r="I23" s="126"/>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9" spans="1:9" ht="23.4" x14ac:dyDescent="0.3">
      <c r="A29" s="201" t="s">
        <v>590</v>
      </c>
      <c r="B29" s="201"/>
      <c r="C29" s="201"/>
      <c r="D29" s="201"/>
      <c r="E29" s="206" t="s">
        <v>549</v>
      </c>
      <c r="F29" s="206"/>
      <c r="G29" s="206"/>
      <c r="H29" s="206"/>
      <c r="I29" s="206"/>
    </row>
    <row r="30" spans="1:9" ht="6.75" customHeight="1" x14ac:dyDescent="0.3"/>
    <row r="31" spans="1:9" ht="23.4" x14ac:dyDescent="0.3">
      <c r="A31" s="201" t="s">
        <v>591</v>
      </c>
      <c r="B31" s="201"/>
      <c r="C31" s="201"/>
      <c r="D31" s="201"/>
      <c r="E31" s="206" t="s">
        <v>589</v>
      </c>
      <c r="F31" s="206"/>
      <c r="G31" s="206"/>
      <c r="H31" s="206"/>
      <c r="I31" s="206"/>
    </row>
  </sheetData>
  <sheetProtection algorithmName="SHA-512" hashValue="OuYVcZx7E4cS7y2CvVnzYHGmN0pSeiGjrudgmyUutbv74id4c2g+rvh9COXcgzlm+XiNQ7dOybfclfzivmlvRw==" saltValue="eruXWqe2MzOwv7eVqXRUvg==" spinCount="100000" sheet="1" objects="1" scenarios="1"/>
  <mergeCells count="6">
    <mergeCell ref="A10:D10"/>
    <mergeCell ref="E10:G10"/>
    <mergeCell ref="A29:D29"/>
    <mergeCell ref="E29:I29"/>
    <mergeCell ref="A31:D31"/>
    <mergeCell ref="E31:I31"/>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0:AG24"/>
  <sheetViews>
    <sheetView view="pageBreakPreview" topLeftCell="C18" zoomScale="60" zoomScaleNormal="90" workbookViewId="0">
      <selection activeCell="AG20" sqref="AG20"/>
    </sheetView>
  </sheetViews>
  <sheetFormatPr baseColWidth="10" defaultColWidth="11.44140625" defaultRowHeight="15.6" x14ac:dyDescent="0.3"/>
  <cols>
    <col min="1" max="1" width="11.44140625" style="25"/>
    <col min="2" max="5" width="18.44140625" style="25" customWidth="1"/>
    <col min="6" max="6" width="15.5546875" style="25" customWidth="1"/>
    <col min="7" max="7" width="15.109375" style="25" customWidth="1"/>
    <col min="8" max="8" width="14.33203125" style="25" customWidth="1"/>
    <col min="9" max="9" width="28.109375" style="25" customWidth="1"/>
    <col min="10" max="10" width="17.33203125" style="25" customWidth="1"/>
    <col min="11" max="11" width="19.109375" style="25" hidden="1" customWidth="1"/>
    <col min="12" max="12" width="16.44140625" style="25" customWidth="1"/>
    <col min="13" max="13" width="19.109375" style="25" hidden="1" customWidth="1"/>
    <col min="14" max="14" width="15.88671875" style="25" bestFit="1" customWidth="1"/>
    <col min="15" max="15" width="19.109375" style="25" hidden="1" customWidth="1"/>
    <col min="16" max="16" width="14" style="25" customWidth="1"/>
    <col min="17" max="17" width="19.109375" style="25" hidden="1" customWidth="1"/>
    <col min="18" max="18" width="14.5546875" style="25" bestFit="1" customWidth="1"/>
    <col min="19" max="19" width="19.109375" style="25" hidden="1" customWidth="1"/>
    <col min="20" max="20" width="14.88671875" style="25" customWidth="1"/>
    <col min="21" max="21" width="19.5546875" style="25" customWidth="1"/>
    <col min="22" max="22" width="18.6640625" style="25" customWidth="1"/>
    <col min="23" max="23" width="19" style="25" customWidth="1"/>
    <col min="24" max="24" width="19.88671875" style="25" customWidth="1"/>
    <col min="25" max="25" width="17.33203125" style="25" customWidth="1"/>
    <col min="26" max="26" width="16.88671875" style="25" customWidth="1"/>
    <col min="27" max="27" width="22.88671875" style="25" customWidth="1"/>
    <col min="28" max="28" width="11.44140625" style="25" customWidth="1"/>
    <col min="29" max="29" width="18.44140625" style="25" customWidth="1"/>
    <col min="30" max="30" width="11.44140625" style="25" customWidth="1"/>
    <col min="31" max="31" width="17.33203125" style="25" customWidth="1"/>
    <col min="32" max="32" width="11.44140625" style="25" customWidth="1"/>
    <col min="33" max="33" width="18.88671875" style="25" customWidth="1"/>
    <col min="34" max="16384" width="11.44140625" style="25"/>
  </cols>
  <sheetData>
    <row r="10" spans="1:33" ht="23.4" x14ac:dyDescent="0.3">
      <c r="A10" s="201" t="s">
        <v>343</v>
      </c>
      <c r="B10" s="201"/>
      <c r="C10" s="201"/>
      <c r="D10" s="201"/>
      <c r="E10" s="228" t="s">
        <v>354</v>
      </c>
      <c r="F10" s="228"/>
      <c r="G10" s="228"/>
      <c r="H10" s="228"/>
      <c r="I10" s="228"/>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173.25" customHeight="1" x14ac:dyDescent="0.3">
      <c r="A15" s="40">
        <v>1</v>
      </c>
      <c r="B15" s="26" t="s">
        <v>187</v>
      </c>
      <c r="C15" s="26" t="s">
        <v>186</v>
      </c>
      <c r="D15" s="26" t="s">
        <v>202</v>
      </c>
      <c r="E15" s="26" t="s">
        <v>385</v>
      </c>
      <c r="F15" s="24">
        <v>1</v>
      </c>
      <c r="G15" s="24" t="s">
        <v>51</v>
      </c>
      <c r="H15" s="24" t="str">
        <f>INDEX(TABLAS!$B$14:$F$18,MATCH(F15,TABLAS!$A$14:$A$18,0),MATCH(G15,TABLAS!$B$13:$F$13,0))</f>
        <v>B</v>
      </c>
      <c r="I15" s="26" t="s">
        <v>199</v>
      </c>
      <c r="J15" s="27" t="s">
        <v>69</v>
      </c>
      <c r="K15" s="27">
        <f>IF(J15="","",VLOOKUP(J15,TABLAS!$A$30:$B$32,2,0))</f>
        <v>1</v>
      </c>
      <c r="L15" s="27" t="s">
        <v>65</v>
      </c>
      <c r="M15" s="27">
        <f>IF(L15="","",VLOOKUP(L15,TABLAS!$C$30:$D$33,2,0))</f>
        <v>3</v>
      </c>
      <c r="N15" s="27" t="s">
        <v>76</v>
      </c>
      <c r="O15" s="27">
        <f>+IF(N15="","",VLOOKUP(N15,TABLAS!$E$30:$F$33,2,0))</f>
        <v>3</v>
      </c>
      <c r="P15" s="27" t="s">
        <v>81</v>
      </c>
      <c r="Q15" s="27">
        <f>+IF(P15="","",VLOOKUP(P15,TABLAS!$G$30:$H$33,2,0))</f>
        <v>3</v>
      </c>
      <c r="R15" s="27" t="s">
        <v>87</v>
      </c>
      <c r="S15" s="27">
        <f>+IF(R15="","",VLOOKUP(R15,TABLAS!$I$30:$J$33,2,0))</f>
        <v>3</v>
      </c>
      <c r="T15" s="27">
        <f t="shared" ref="T15:T20" si="0">IFERROR(K15*25%+M15*10%+O15*25%+Q15*20%+S15*20%,0)</f>
        <v>2.5</v>
      </c>
      <c r="U15" s="24">
        <f>+IF(F15=1,1,IF(T15&gt;=TABLAS!$A$39,F15-TABLAS!$C$39,F15))</f>
        <v>1</v>
      </c>
      <c r="V15" s="24" t="s">
        <v>51</v>
      </c>
      <c r="W15" s="24" t="str">
        <f>INDEX(TABLAS!$B$14:$F$18,MATCH(U15,TABLAS!$A$14:$A$18,0),MATCH(V15,TABLAS!$B$13:$F$13,0))</f>
        <v>B</v>
      </c>
      <c r="X15" s="26" t="str">
        <f>+VLOOKUP(W15,TABLAS!$A$22:$B$25,2,0)</f>
        <v>Asumir y monitoreo</v>
      </c>
      <c r="Y15" s="26" t="s">
        <v>103</v>
      </c>
      <c r="Z15" s="26" t="s">
        <v>21</v>
      </c>
      <c r="AA15" s="26" t="s">
        <v>132</v>
      </c>
      <c r="AB15" s="24" t="s">
        <v>36</v>
      </c>
      <c r="AC15" s="24"/>
      <c r="AD15" s="24" t="s">
        <v>36</v>
      </c>
      <c r="AE15" s="92" t="s">
        <v>645</v>
      </c>
      <c r="AF15" s="24" t="s">
        <v>36</v>
      </c>
      <c r="AG15" s="24"/>
    </row>
    <row r="16" spans="1:33" ht="93.6" x14ac:dyDescent="0.3">
      <c r="A16" s="40">
        <v>2</v>
      </c>
      <c r="B16" s="26" t="s">
        <v>22</v>
      </c>
      <c r="C16" s="26" t="s">
        <v>188</v>
      </c>
      <c r="D16" s="26" t="s">
        <v>202</v>
      </c>
      <c r="E16" s="26" t="s">
        <v>385</v>
      </c>
      <c r="F16" s="24">
        <v>1</v>
      </c>
      <c r="G16" s="24" t="s">
        <v>51</v>
      </c>
      <c r="H16" s="24" t="str">
        <f>INDEX(TABLAS!$B$14:$F$18,MATCH(F16,TABLAS!$A$14:$A$18,0),MATCH(G16,TABLAS!$B$13:$F$13,0))</f>
        <v>B</v>
      </c>
      <c r="I16" s="26" t="s">
        <v>189</v>
      </c>
      <c r="J16" s="27" t="s">
        <v>69</v>
      </c>
      <c r="K16" s="27">
        <f>IF(J16="","",VLOOKUP(J16,TABLAS!$A$30:$B$32,2,0))</f>
        <v>1</v>
      </c>
      <c r="L16" s="27" t="s">
        <v>65</v>
      </c>
      <c r="M16" s="27">
        <f>IF(L16="","",VLOOKUP(L16,TABLAS!$C$30:$D$33,2,0))</f>
        <v>3</v>
      </c>
      <c r="N16" s="27" t="s">
        <v>76</v>
      </c>
      <c r="O16" s="27">
        <f>+IF(N16="","",VLOOKUP(N16,TABLAS!$E$30:$F$33,2,0))</f>
        <v>3</v>
      </c>
      <c r="P16" s="27" t="s">
        <v>82</v>
      </c>
      <c r="Q16" s="27">
        <f>+IF(P16="","",VLOOKUP(P16,TABLAS!$G$30:$H$33,2,0))</f>
        <v>2</v>
      </c>
      <c r="R16" s="27" t="s">
        <v>87</v>
      </c>
      <c r="S16" s="27">
        <f>+IF(R16="","",VLOOKUP(R16,TABLAS!$I$30:$J$33,2,0))</f>
        <v>3</v>
      </c>
      <c r="T16" s="27">
        <f t="shared" si="0"/>
        <v>2.3000000000000003</v>
      </c>
      <c r="U16" s="24">
        <f>+IF(F16=1,1,IF(T16&gt;=TABLAS!$A$39,F16-TABLAS!$C$39,F16))</f>
        <v>1</v>
      </c>
      <c r="V16" s="24" t="s">
        <v>51</v>
      </c>
      <c r="W16" s="24" t="str">
        <f>INDEX(TABLAS!$B$14:$F$18,MATCH(U16,TABLAS!$A$14:$A$18,0),MATCH(V16,TABLAS!$B$13:$F$13,0))</f>
        <v>B</v>
      </c>
      <c r="X16" s="26" t="str">
        <f>+VLOOKUP(W16,TABLAS!$A$22:$B$25,2,0)</f>
        <v>Asumir y monitoreo</v>
      </c>
      <c r="Y16" s="26" t="s">
        <v>103</v>
      </c>
      <c r="Z16" s="26" t="s">
        <v>21</v>
      </c>
      <c r="AA16" s="26" t="s">
        <v>190</v>
      </c>
      <c r="AB16" s="24" t="s">
        <v>36</v>
      </c>
      <c r="AC16" s="24"/>
      <c r="AD16" s="24" t="s">
        <v>36</v>
      </c>
      <c r="AE16" s="24" t="s">
        <v>646</v>
      </c>
      <c r="AF16" s="24" t="s">
        <v>36</v>
      </c>
      <c r="AG16" s="24" t="s">
        <v>646</v>
      </c>
    </row>
    <row r="17" spans="1:33" ht="109.2" x14ac:dyDescent="0.3">
      <c r="A17" s="39">
        <v>3</v>
      </c>
      <c r="B17" s="26" t="s">
        <v>192</v>
      </c>
      <c r="C17" s="26" t="s">
        <v>191</v>
      </c>
      <c r="D17" s="26" t="s">
        <v>202</v>
      </c>
      <c r="E17" s="26" t="s">
        <v>385</v>
      </c>
      <c r="F17" s="24">
        <v>1</v>
      </c>
      <c r="G17" s="24" t="s">
        <v>53</v>
      </c>
      <c r="H17" s="24" t="str">
        <f>INDEX(TABLAS!$B$14:$F$18,MATCH(F17,TABLAS!$A$14:$A$18,0),MATCH(G17,TABLAS!$B$13:$F$13,0))</f>
        <v>A</v>
      </c>
      <c r="I17" s="26" t="s">
        <v>310</v>
      </c>
      <c r="J17" s="27" t="s">
        <v>69</v>
      </c>
      <c r="K17" s="27">
        <f>IF(J17="","",VLOOKUP(J17,TABLAS!$A$30:$B$32,2,0))</f>
        <v>1</v>
      </c>
      <c r="L17" s="27" t="s">
        <v>65</v>
      </c>
      <c r="M17" s="27">
        <f>IF(L17="","",VLOOKUP(L17,TABLAS!$C$30:$D$33,2,0))</f>
        <v>3</v>
      </c>
      <c r="N17" s="27" t="s">
        <v>76</v>
      </c>
      <c r="O17" s="27">
        <f>+IF(N17="","",VLOOKUP(N17,TABLAS!$E$30:$F$33,2,0))</f>
        <v>3</v>
      </c>
      <c r="P17" s="27" t="s">
        <v>81</v>
      </c>
      <c r="Q17" s="27">
        <f>+IF(P17="","",VLOOKUP(P17,TABLAS!$G$30:$H$33,2,0))</f>
        <v>3</v>
      </c>
      <c r="R17" s="27" t="s">
        <v>88</v>
      </c>
      <c r="S17" s="27">
        <f>+IF(R17="","",VLOOKUP(R17,TABLAS!$I$30:$J$33,2,0))</f>
        <v>2</v>
      </c>
      <c r="T17" s="27">
        <f t="shared" si="0"/>
        <v>2.3000000000000003</v>
      </c>
      <c r="U17" s="24">
        <f>+IF(F17=1,1,IF(T17&gt;=TABLAS!$A$39,F17-TABLAS!$C$39,F17))</f>
        <v>1</v>
      </c>
      <c r="V17" s="24" t="s">
        <v>51</v>
      </c>
      <c r="W17" s="24" t="str">
        <f>INDEX(TABLAS!$B$14:$F$18,MATCH(U17,TABLAS!$A$14:$A$18,0),MATCH(V17,TABLAS!$B$13:$F$13,0))</f>
        <v>B</v>
      </c>
      <c r="X17" s="26" t="str">
        <f>+VLOOKUP(W17,TABLAS!$A$22:$B$25,2,0)</f>
        <v>Asumir y monitoreo</v>
      </c>
      <c r="Y17" s="26" t="s">
        <v>103</v>
      </c>
      <c r="Z17" s="26" t="s">
        <v>21</v>
      </c>
      <c r="AA17" s="26" t="s">
        <v>195</v>
      </c>
      <c r="AB17" s="24" t="s">
        <v>36</v>
      </c>
      <c r="AC17" s="24"/>
      <c r="AD17" s="24" t="s">
        <v>36</v>
      </c>
      <c r="AE17" s="24"/>
      <c r="AF17" s="24" t="s">
        <v>36</v>
      </c>
      <c r="AG17" s="92" t="s">
        <v>647</v>
      </c>
    </row>
    <row r="18" spans="1:33" ht="156" x14ac:dyDescent="0.3">
      <c r="A18" s="217">
        <v>4</v>
      </c>
      <c r="B18" s="213" t="s">
        <v>196</v>
      </c>
      <c r="C18" s="26" t="s">
        <v>193</v>
      </c>
      <c r="D18" s="26" t="s">
        <v>202</v>
      </c>
      <c r="E18" s="26" t="s">
        <v>385</v>
      </c>
      <c r="F18" s="24">
        <v>2</v>
      </c>
      <c r="G18" s="24" t="s">
        <v>53</v>
      </c>
      <c r="H18" s="24" t="str">
        <f>INDEX(TABLAS!$B$14:$F$18,MATCH(F18,TABLAS!$A$14:$A$18,0),MATCH(G18,TABLAS!$B$13:$F$13,0))</f>
        <v>A</v>
      </c>
      <c r="I18" s="26" t="s">
        <v>194</v>
      </c>
      <c r="J18" s="27" t="s">
        <v>69</v>
      </c>
      <c r="K18" s="27">
        <f>IF(J18="","",VLOOKUP(J18,TABLAS!$A$30:$B$32,2,0))</f>
        <v>1</v>
      </c>
      <c r="L18" s="27" t="s">
        <v>65</v>
      </c>
      <c r="M18" s="27">
        <f>IF(L18="","",VLOOKUP(L18,TABLAS!$C$30:$D$33,2,0))</f>
        <v>3</v>
      </c>
      <c r="N18" s="27" t="s">
        <v>76</v>
      </c>
      <c r="O18" s="27">
        <f>+IF(N18="","",VLOOKUP(N18,TABLAS!$E$30:$F$33,2,0))</f>
        <v>3</v>
      </c>
      <c r="P18" s="27" t="s">
        <v>81</v>
      </c>
      <c r="Q18" s="27">
        <f>+IF(P18="","",VLOOKUP(P18,TABLAS!$G$30:$H$33,2,0))</f>
        <v>3</v>
      </c>
      <c r="R18" s="27" t="s">
        <v>88</v>
      </c>
      <c r="S18" s="27">
        <f>+IF(R18="","",VLOOKUP(R18,TABLAS!$I$30:$J$33,2,0))</f>
        <v>2</v>
      </c>
      <c r="T18" s="27">
        <f t="shared" si="0"/>
        <v>2.3000000000000003</v>
      </c>
      <c r="U18" s="24">
        <f>+IF(F18=1,1,IF(T18&gt;=TABLAS!$A$39,F18-TABLAS!$C$39,F18))</f>
        <v>1</v>
      </c>
      <c r="V18" s="24" t="s">
        <v>51</v>
      </c>
      <c r="W18" s="24" t="str">
        <f>INDEX(TABLAS!$B$14:$F$18,MATCH(U18,TABLAS!$A$14:$A$18,0),MATCH(V18,TABLAS!$B$13:$F$13,0))</f>
        <v>B</v>
      </c>
      <c r="X18" s="26" t="str">
        <f>+VLOOKUP(W18,TABLAS!$A$22:$B$25,2,0)</f>
        <v>Asumir y monitoreo</v>
      </c>
      <c r="Y18" s="26" t="s">
        <v>103</v>
      </c>
      <c r="Z18" s="26" t="s">
        <v>21</v>
      </c>
      <c r="AA18" s="26" t="s">
        <v>195</v>
      </c>
      <c r="AB18" s="24" t="s">
        <v>36</v>
      </c>
      <c r="AC18" s="24"/>
      <c r="AD18" s="24" t="s">
        <v>36</v>
      </c>
      <c r="AE18" s="24"/>
      <c r="AF18" s="24" t="s">
        <v>36</v>
      </c>
      <c r="AG18" s="92" t="s">
        <v>648</v>
      </c>
    </row>
    <row r="19" spans="1:33" ht="62.4" x14ac:dyDescent="0.3">
      <c r="A19" s="217"/>
      <c r="B19" s="214"/>
      <c r="C19" s="26" t="s">
        <v>23</v>
      </c>
      <c r="D19" s="26" t="s">
        <v>202</v>
      </c>
      <c r="E19" s="26" t="s">
        <v>385</v>
      </c>
      <c r="F19" s="24">
        <v>2</v>
      </c>
      <c r="G19" s="24" t="s">
        <v>53</v>
      </c>
      <c r="H19" s="24" t="str">
        <f>INDEX(TABLAS!$B$14:$F$18,MATCH(F19,TABLAS!$A$14:$A$18,0),MATCH(G19,TABLAS!$B$13:$F$13,0))</f>
        <v>A</v>
      </c>
      <c r="I19" s="26" t="s">
        <v>197</v>
      </c>
      <c r="J19" s="27" t="s">
        <v>69</v>
      </c>
      <c r="K19" s="27">
        <f>IF(J19="","",VLOOKUP(J19,TABLAS!$A$30:$B$32,2,0))</f>
        <v>1</v>
      </c>
      <c r="L19" s="27" t="s">
        <v>65</v>
      </c>
      <c r="M19" s="27">
        <f>IF(L19="","",VLOOKUP(L19,TABLAS!$C$30:$D$33,2,0))</f>
        <v>3</v>
      </c>
      <c r="N19" s="27" t="s">
        <v>76</v>
      </c>
      <c r="O19" s="27">
        <f>+IF(N19="","",VLOOKUP(N19,TABLAS!$E$30:$F$33,2,0))</f>
        <v>3</v>
      </c>
      <c r="P19" s="27" t="s">
        <v>81</v>
      </c>
      <c r="Q19" s="27">
        <f>+IF(P19="","",VLOOKUP(P19,TABLAS!$G$30:$H$33,2,0))</f>
        <v>3</v>
      </c>
      <c r="R19" s="27" t="s">
        <v>88</v>
      </c>
      <c r="S19" s="27">
        <f>+IF(R19="","",VLOOKUP(R19,TABLAS!$I$30:$J$33,2,0))</f>
        <v>2</v>
      </c>
      <c r="T19" s="27">
        <f t="shared" si="0"/>
        <v>2.3000000000000003</v>
      </c>
      <c r="U19" s="24">
        <f>+IF(F19=1,1,IF(T19&gt;=TABLAS!$A$39,F19-TABLAS!$C$39,F19))</f>
        <v>1</v>
      </c>
      <c r="V19" s="24" t="s">
        <v>51</v>
      </c>
      <c r="W19" s="24" t="str">
        <f>INDEX(TABLAS!$B$14:$F$18,MATCH(U19,TABLAS!$A$14:$A$18,0),MATCH(V19,TABLAS!$B$13:$F$13,0))</f>
        <v>B</v>
      </c>
      <c r="X19" s="26" t="str">
        <f>+VLOOKUP(W19,TABLAS!$A$22:$B$25,2,0)</f>
        <v>Asumir y monitoreo</v>
      </c>
      <c r="Y19" s="26" t="s">
        <v>103</v>
      </c>
      <c r="Z19" s="26" t="s">
        <v>21</v>
      </c>
      <c r="AA19" s="26" t="s">
        <v>198</v>
      </c>
      <c r="AB19" s="24" t="s">
        <v>36</v>
      </c>
      <c r="AC19" s="24"/>
      <c r="AD19" s="24" t="s">
        <v>36</v>
      </c>
      <c r="AE19" s="24"/>
      <c r="AF19" s="24" t="s">
        <v>36</v>
      </c>
      <c r="AG19" s="174">
        <v>1</v>
      </c>
    </row>
    <row r="20" spans="1:33" ht="93.6" x14ac:dyDescent="0.3">
      <c r="A20" s="39">
        <v>5</v>
      </c>
      <c r="B20" s="34" t="s">
        <v>307</v>
      </c>
      <c r="C20" s="26" t="s">
        <v>24</v>
      </c>
      <c r="D20" s="26" t="s">
        <v>202</v>
      </c>
      <c r="E20" s="26" t="s">
        <v>385</v>
      </c>
      <c r="F20" s="24">
        <v>1</v>
      </c>
      <c r="G20" s="24" t="s">
        <v>52</v>
      </c>
      <c r="H20" s="24" t="str">
        <f>INDEX(TABLAS!$B$14:$F$18,MATCH(F20,TABLAS!$A$14:$A$18,0),MATCH(G20,TABLAS!$B$13:$F$13,0))</f>
        <v>M</v>
      </c>
      <c r="I20" s="26" t="s">
        <v>308</v>
      </c>
      <c r="J20" s="27" t="s">
        <v>69</v>
      </c>
      <c r="K20" s="27">
        <f>IF(J20="","",VLOOKUP(J20,TABLAS!$A$30:$B$32,2,0))</f>
        <v>1</v>
      </c>
      <c r="L20" s="27" t="s">
        <v>65</v>
      </c>
      <c r="M20" s="27">
        <f>IF(L20="","",VLOOKUP(L20,TABLAS!$C$30:$D$33,2,0))</f>
        <v>3</v>
      </c>
      <c r="N20" s="27" t="s">
        <v>76</v>
      </c>
      <c r="O20" s="27">
        <f>+IF(N20="","",VLOOKUP(N20,TABLAS!$E$30:$F$33,2,0))</f>
        <v>3</v>
      </c>
      <c r="P20" s="27" t="s">
        <v>81</v>
      </c>
      <c r="Q20" s="27">
        <f>+IF(P20="","",VLOOKUP(P20,TABLAS!$G$30:$H$33,2,0))</f>
        <v>3</v>
      </c>
      <c r="R20" s="27" t="s">
        <v>87</v>
      </c>
      <c r="S20" s="27">
        <f>+IF(R20="","",VLOOKUP(R20,TABLAS!$I$30:$J$33,2,0))</f>
        <v>3</v>
      </c>
      <c r="T20" s="27">
        <f t="shared" si="0"/>
        <v>2.5</v>
      </c>
      <c r="U20" s="24">
        <f>+IF(F20=1,1,IF(T20&gt;=TABLAS!$A$39,F20-TABLAS!$C$39,F20))</f>
        <v>1</v>
      </c>
      <c r="V20" s="24" t="s">
        <v>51</v>
      </c>
      <c r="W20" s="24" t="str">
        <f>INDEX(TABLAS!$B$14:$F$18,MATCH(U20,TABLAS!$A$14:$A$18,0),MATCH(V20,TABLAS!$B$13:$F$13,0))</f>
        <v>B</v>
      </c>
      <c r="X20" s="26" t="str">
        <f>+VLOOKUP(W20,TABLAS!$A$22:$B$25,2,0)</f>
        <v>Asumir y monitoreo</v>
      </c>
      <c r="Y20" s="92" t="s">
        <v>103</v>
      </c>
      <c r="Z20" s="26" t="s">
        <v>21</v>
      </c>
      <c r="AA20" s="26" t="s">
        <v>309</v>
      </c>
      <c r="AB20" s="24" t="s">
        <v>36</v>
      </c>
      <c r="AC20" s="24"/>
      <c r="AD20" s="24" t="s">
        <v>36</v>
      </c>
      <c r="AE20" s="24"/>
      <c r="AF20" s="24" t="s">
        <v>36</v>
      </c>
      <c r="AG20" s="174">
        <v>1</v>
      </c>
    </row>
    <row r="22" spans="1:33" ht="23.4" x14ac:dyDescent="0.3">
      <c r="A22" s="201" t="s">
        <v>587</v>
      </c>
      <c r="B22" s="201"/>
      <c r="C22" s="201"/>
      <c r="D22" s="201"/>
      <c r="E22" s="206" t="s">
        <v>596</v>
      </c>
      <c r="F22" s="206"/>
      <c r="G22" s="206"/>
      <c r="H22" s="206"/>
      <c r="I22" s="206"/>
    </row>
    <row r="23" spans="1:33" ht="6.75" customHeight="1" x14ac:dyDescent="0.3">
      <c r="E23" s="145"/>
      <c r="F23" s="145"/>
      <c r="G23" s="145"/>
      <c r="H23" s="145"/>
      <c r="I23" s="145"/>
    </row>
    <row r="24" spans="1:33" ht="23.4" x14ac:dyDescent="0.3">
      <c r="A24" s="201" t="s">
        <v>588</v>
      </c>
      <c r="B24" s="201"/>
      <c r="C24" s="201"/>
      <c r="D24" s="201"/>
      <c r="E24" s="206" t="s">
        <v>589</v>
      </c>
      <c r="F24" s="206"/>
      <c r="G24" s="206"/>
      <c r="H24" s="206"/>
      <c r="I24" s="206"/>
    </row>
  </sheetData>
  <sheetProtection algorithmName="SHA-512" hashValue="hEOKvpru6FzQU6c32mrWl+bU3TukJNqGd/G0B55//pIBhLqcGBWMXXuCQNMUC3pIsoUDmB7jXb1hOnWFkvt4PQ==" saltValue="cJunTJ1XQwwkVGuaP0mA1A==" spinCount="100000" sheet="1" objects="1" scenarios="1"/>
  <mergeCells count="21">
    <mergeCell ref="A22:D22"/>
    <mergeCell ref="E22:I22"/>
    <mergeCell ref="A24:D24"/>
    <mergeCell ref="E24:I24"/>
    <mergeCell ref="AB12:AG13"/>
    <mergeCell ref="B18:B19"/>
    <mergeCell ref="AA13:AA14"/>
    <mergeCell ref="B12:E13"/>
    <mergeCell ref="A10:D10"/>
    <mergeCell ref="E10:I10"/>
    <mergeCell ref="A18:A19"/>
    <mergeCell ref="A12:A14"/>
    <mergeCell ref="Z13:Z14"/>
    <mergeCell ref="Y13:Y14"/>
    <mergeCell ref="F12:H12"/>
    <mergeCell ref="F13:G13"/>
    <mergeCell ref="X13:X14"/>
    <mergeCell ref="I12:T13"/>
    <mergeCell ref="U12:V13"/>
    <mergeCell ref="W12:W13"/>
    <mergeCell ref="X12:AA12"/>
  </mergeCells>
  <conditionalFormatting sqref="H15:H20">
    <cfRule type="expression" dxfId="23" priority="5" stopIfTrue="1">
      <formula>H15="E"</formula>
    </cfRule>
    <cfRule type="expression" dxfId="22" priority="6" stopIfTrue="1">
      <formula>H15="M"</formula>
    </cfRule>
    <cfRule type="expression" dxfId="21" priority="7" stopIfTrue="1">
      <formula>H15="B"</formula>
    </cfRule>
    <cfRule type="expression" dxfId="20" priority="8" stopIfTrue="1">
      <formula>H15="A"</formula>
    </cfRule>
  </conditionalFormatting>
  <conditionalFormatting sqref="W15:W20">
    <cfRule type="expression" dxfId="19" priority="1" stopIfTrue="1">
      <formula>W15="E"</formula>
    </cfRule>
    <cfRule type="expression" dxfId="18" priority="2" stopIfTrue="1">
      <formula>W15="M"</formula>
    </cfRule>
    <cfRule type="expression" dxfId="17" priority="3" stopIfTrue="1">
      <formula>W15="B"</formula>
    </cfRule>
    <cfRule type="expression" dxfId="16" priority="4" stopIfTrue="1">
      <formula>W15="A"</formula>
    </cfRule>
  </conditionalFormatting>
  <pageMargins left="0.70866141732283472" right="0.70866141732283472" top="0.74803149606299213" bottom="0.74803149606299213" header="0.31496062992125984" footer="0.31496062992125984"/>
  <pageSetup paperSize="9" scale="47" orientation="landscape" r:id="rId1"/>
  <colBreaks count="1" manualBreakCount="1">
    <brk id="15" max="23"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700-000000000000}">
          <x14:formula1>
            <xm:f>TABLAS!$A$14:$A$18</xm:f>
          </x14:formula1>
          <xm:sqref>F15:F20</xm:sqref>
        </x14:dataValidation>
        <x14:dataValidation type="list" allowBlank="1" showInputMessage="1" showErrorMessage="1" xr:uid="{00000000-0002-0000-1700-000001000000}">
          <x14:formula1>
            <xm:f>TABLAS!$B$13:$F$13</xm:f>
          </x14:formula1>
          <xm:sqref>G15:G20 V15:V20</xm:sqref>
        </x14:dataValidation>
        <x14:dataValidation type="list" allowBlank="1" showInputMessage="1" showErrorMessage="1" xr:uid="{00000000-0002-0000-1700-000002000000}">
          <x14:formula1>
            <xm:f>TABLAS!$A$30:$A$32</xm:f>
          </x14:formula1>
          <xm:sqref>J15:J20</xm:sqref>
        </x14:dataValidation>
        <x14:dataValidation type="list" allowBlank="1" showInputMessage="1" showErrorMessage="1" xr:uid="{00000000-0002-0000-1700-000003000000}">
          <x14:formula1>
            <xm:f>TABLAS!$C$30:$C$33</xm:f>
          </x14:formula1>
          <xm:sqref>L15:L20</xm:sqref>
        </x14:dataValidation>
        <x14:dataValidation type="list" allowBlank="1" showInputMessage="1" showErrorMessage="1" xr:uid="{00000000-0002-0000-1700-000004000000}">
          <x14:formula1>
            <xm:f>TABLAS!$E$30:$E$33</xm:f>
          </x14:formula1>
          <xm:sqref>N15:N20</xm:sqref>
        </x14:dataValidation>
        <x14:dataValidation type="list" allowBlank="1" showInputMessage="1" showErrorMessage="1" xr:uid="{00000000-0002-0000-1700-000005000000}">
          <x14:formula1>
            <xm:f>TABLAS!$G$30:$G$33</xm:f>
          </x14:formula1>
          <xm:sqref>P15:P20</xm:sqref>
        </x14:dataValidation>
        <x14:dataValidation type="list" allowBlank="1" showInputMessage="1" showErrorMessage="1" xr:uid="{00000000-0002-0000-1700-000006000000}">
          <x14:formula1>
            <xm:f>TABLAS!$I$30:$I$33</xm:f>
          </x14:formula1>
          <xm:sqref>R15:R20</xm:sqref>
        </x14:dataValidation>
        <x14:dataValidation type="list" allowBlank="1" showInputMessage="1" showErrorMessage="1" xr:uid="{00000000-0002-0000-1700-000007000000}">
          <x14:formula1>
            <xm:f>TABLAS!$B$44:$B$52</xm:f>
          </x14:formula1>
          <xm:sqref>E15:E20</xm:sqref>
        </x14:dataValidation>
        <x14:dataValidation type="list" allowBlank="1" showInputMessage="1" showErrorMessage="1" xr:uid="{00000000-0002-0000-1700-000008000000}">
          <x14:formula1>
            <xm:f>TABLAS!$A$44:$A$52</xm:f>
          </x14:formula1>
          <xm:sqref>D15:D20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A10:S37"/>
  <sheetViews>
    <sheetView view="pageBreakPreview" topLeftCell="C12" zoomScale="60" zoomScaleNormal="90" workbookViewId="0">
      <selection activeCell="N34" sqref="N34"/>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354</v>
      </c>
      <c r="F10" s="202"/>
      <c r="G10" s="202"/>
      <c r="H10" s="202"/>
      <c r="I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x14ac:dyDescent="0.3">
      <c r="A13" s="126"/>
      <c r="B13" s="126"/>
      <c r="C13" s="146"/>
      <c r="D13" s="92"/>
      <c r="E13" s="139"/>
      <c r="F13" s="139"/>
      <c r="G13" s="126"/>
      <c r="H13" s="126"/>
      <c r="I13" s="126"/>
    </row>
    <row r="14" spans="1:9" s="89" customFormat="1" ht="14.4" x14ac:dyDescent="0.3">
      <c r="A14" s="126"/>
      <c r="B14" s="126"/>
      <c r="C14" s="146"/>
      <c r="D14" s="14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26"/>
      <c r="D20" s="126"/>
      <c r="E20" s="139"/>
      <c r="F20" s="139"/>
      <c r="G20" s="126"/>
      <c r="H20" s="126"/>
      <c r="I20" s="126"/>
    </row>
    <row r="21" spans="1:9" s="89" customFormat="1" ht="14.4" x14ac:dyDescent="0.3">
      <c r="A21" s="126"/>
      <c r="B21" s="126"/>
      <c r="C21" s="146"/>
      <c r="D21" s="126"/>
      <c r="E21" s="139"/>
      <c r="F21" s="139"/>
      <c r="G21" s="126"/>
      <c r="H21" s="126"/>
      <c r="I21" s="126"/>
    </row>
    <row r="22" spans="1:9" s="89" customFormat="1" ht="14.4" x14ac:dyDescent="0.3">
      <c r="A22" s="126"/>
      <c r="B22" s="126"/>
      <c r="C22" s="126"/>
      <c r="D22" s="126"/>
      <c r="E22" s="139"/>
      <c r="F22" s="139"/>
      <c r="G22" s="126"/>
      <c r="H22" s="126"/>
      <c r="I22" s="126"/>
    </row>
    <row r="23" spans="1:9" s="89" customFormat="1" ht="14.4" x14ac:dyDescent="0.3">
      <c r="A23" s="126"/>
      <c r="B23" s="126"/>
      <c r="C23" s="126"/>
      <c r="D23" s="126"/>
      <c r="E23" s="139"/>
      <c r="F23" s="126"/>
      <c r="G23" s="126"/>
      <c r="H23" s="126"/>
      <c r="I23" s="126"/>
    </row>
    <row r="24" spans="1:9" s="89" customFormat="1" ht="14.4" x14ac:dyDescent="0.3">
      <c r="A24" s="126"/>
      <c r="B24" s="126"/>
      <c r="C24" s="126"/>
      <c r="D24" s="126"/>
      <c r="E24" s="139"/>
      <c r="F24" s="126"/>
      <c r="G24" s="126"/>
      <c r="H24" s="126"/>
      <c r="I24" s="126"/>
    </row>
    <row r="25" spans="1:9" s="89" customFormat="1" ht="14.4" x14ac:dyDescent="0.3">
      <c r="A25" s="126"/>
      <c r="B25" s="126"/>
      <c r="C25" s="126"/>
      <c r="D25" s="126"/>
      <c r="E25" s="126"/>
      <c r="F25" s="126"/>
      <c r="G25" s="126"/>
      <c r="H25" s="126"/>
      <c r="I25" s="126"/>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29" spans="1:9" s="89" customFormat="1" ht="14.4" x14ac:dyDescent="0.3">
      <c r="A29" s="90"/>
      <c r="B29" s="90"/>
      <c r="C29" s="90"/>
      <c r="D29" s="90"/>
      <c r="E29" s="90"/>
      <c r="F29" s="90"/>
      <c r="G29" s="90"/>
      <c r="H29" s="90"/>
      <c r="I29" s="90"/>
    </row>
    <row r="30" spans="1:9" s="89" customFormat="1" ht="14.4" x14ac:dyDescent="0.3">
      <c r="A30" s="90"/>
      <c r="B30" s="90"/>
      <c r="C30" s="90"/>
      <c r="D30" s="90"/>
      <c r="E30" s="90"/>
      <c r="F30" s="90"/>
      <c r="G30" s="90"/>
      <c r="H30" s="90"/>
      <c r="I30" s="90"/>
    </row>
    <row r="31" spans="1:9" s="89" customFormat="1" ht="14.4" x14ac:dyDescent="0.3">
      <c r="A31" s="90"/>
      <c r="B31" s="90"/>
      <c r="C31" s="90"/>
      <c r="D31" s="90"/>
      <c r="E31" s="90"/>
      <c r="F31" s="90"/>
      <c r="G31" s="90"/>
      <c r="H31" s="90"/>
      <c r="I31" s="90"/>
    </row>
    <row r="32" spans="1:9" s="89" customFormat="1" ht="14.4" x14ac:dyDescent="0.3">
      <c r="A32" s="90"/>
      <c r="B32" s="90"/>
      <c r="C32" s="90"/>
      <c r="D32" s="90"/>
      <c r="E32" s="90"/>
      <c r="F32" s="90"/>
      <c r="G32" s="90"/>
      <c r="H32" s="90"/>
      <c r="I32" s="90"/>
    </row>
    <row r="33" spans="1:9" s="89" customFormat="1" ht="14.4" x14ac:dyDescent="0.3">
      <c r="A33" s="90"/>
      <c r="B33" s="90"/>
      <c r="C33" s="90"/>
      <c r="D33" s="90"/>
      <c r="E33" s="90"/>
      <c r="F33" s="90"/>
      <c r="G33" s="90"/>
      <c r="H33" s="90"/>
      <c r="I33" s="90"/>
    </row>
    <row r="35" spans="1:9" ht="23.4" x14ac:dyDescent="0.3">
      <c r="A35" s="201" t="s">
        <v>590</v>
      </c>
      <c r="B35" s="201"/>
      <c r="C35" s="201"/>
      <c r="D35" s="201"/>
      <c r="E35" s="206" t="s">
        <v>596</v>
      </c>
      <c r="F35" s="206"/>
      <c r="G35" s="206"/>
      <c r="H35" s="206"/>
      <c r="I35" s="206"/>
    </row>
    <row r="36" spans="1:9" ht="6.75" customHeight="1" x14ac:dyDescent="0.3"/>
    <row r="37" spans="1:9" ht="23.4" x14ac:dyDescent="0.3">
      <c r="A37" s="201" t="s">
        <v>591</v>
      </c>
      <c r="B37" s="201"/>
      <c r="C37" s="201"/>
      <c r="D37" s="201"/>
      <c r="E37" s="206" t="s">
        <v>589</v>
      </c>
      <c r="F37" s="206"/>
      <c r="G37" s="206"/>
      <c r="H37" s="206"/>
      <c r="I37" s="206"/>
    </row>
  </sheetData>
  <sheetProtection algorithmName="SHA-512" hashValue="/kVRKqs3B3IrNW0xXzTVLzo1LIa+x08XomseXOt7aFWuzbTJL0HDqCbIqUzzr/X8KYuMr3bVTee2OKplcxPhng==" saltValue="8RN4xplevEo7wkUFfGaEQQ==" spinCount="100000" sheet="1" objects="1" scenarios="1"/>
  <mergeCells count="6">
    <mergeCell ref="A10:D10"/>
    <mergeCell ref="A35:D35"/>
    <mergeCell ref="E35:I35"/>
    <mergeCell ref="A37:D37"/>
    <mergeCell ref="E37:I37"/>
    <mergeCell ref="E10:I10"/>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0:AH23"/>
  <sheetViews>
    <sheetView tabSelected="1" view="pageBreakPreview" topLeftCell="AE17" zoomScale="60" zoomScaleNormal="90" workbookViewId="0">
      <selection activeCell="AJ18" sqref="AJ18"/>
    </sheetView>
  </sheetViews>
  <sheetFormatPr baseColWidth="10" defaultColWidth="11.44140625" defaultRowHeight="15.6" x14ac:dyDescent="0.3"/>
  <cols>
    <col min="1" max="1" width="11.44140625" style="25"/>
    <col min="2" max="5" width="18.44140625" style="25" customWidth="1"/>
    <col min="6" max="6" width="15.5546875" style="25" customWidth="1"/>
    <col min="7" max="7" width="15.109375" style="25" customWidth="1"/>
    <col min="8" max="8" width="14.33203125" style="25" customWidth="1"/>
    <col min="9" max="9" width="28.109375" style="25" customWidth="1"/>
    <col min="10" max="10" width="17.33203125" style="25" customWidth="1"/>
    <col min="11" max="11" width="19.109375" style="25" hidden="1" customWidth="1"/>
    <col min="12" max="12" width="16.44140625" style="25" customWidth="1"/>
    <col min="13" max="13" width="19.109375" style="25" hidden="1" customWidth="1"/>
    <col min="14" max="14" width="15.88671875" style="25" bestFit="1" customWidth="1"/>
    <col min="15" max="15" width="19.109375" style="25" hidden="1" customWidth="1"/>
    <col min="16" max="16" width="14" style="25" customWidth="1"/>
    <col min="17" max="17" width="19.109375" style="25" hidden="1" customWidth="1"/>
    <col min="18" max="18" width="14.5546875" style="25" bestFit="1" customWidth="1"/>
    <col min="19" max="19" width="19.109375" style="25" hidden="1" customWidth="1"/>
    <col min="20" max="20" width="14.88671875" style="25" customWidth="1"/>
    <col min="21" max="21" width="19.5546875" style="25" customWidth="1"/>
    <col min="22" max="22" width="18.6640625" style="25" customWidth="1"/>
    <col min="23" max="23" width="19" style="25" customWidth="1"/>
    <col min="24" max="24" width="19.88671875" style="25" customWidth="1"/>
    <col min="25" max="25" width="17.33203125" style="25" customWidth="1"/>
    <col min="26" max="26" width="16.88671875" style="25" customWidth="1"/>
    <col min="27" max="27" width="22.88671875" style="25" customWidth="1"/>
    <col min="28" max="28" width="14.44140625" style="25" bestFit="1" customWidth="1"/>
    <col min="29" max="29" width="18.44140625" style="25" customWidth="1"/>
    <col min="30" max="30" width="14.44140625" style="25" customWidth="1"/>
    <col min="31" max="31" width="17.33203125" style="25" customWidth="1"/>
    <col min="32" max="32" width="14.6640625" style="25" customWidth="1"/>
    <col min="33" max="33" width="18.88671875" style="25" customWidth="1"/>
    <col min="34" max="16384" width="11.44140625" style="25"/>
  </cols>
  <sheetData>
    <row r="10" spans="1:34" ht="23.4" x14ac:dyDescent="0.3">
      <c r="A10" s="201" t="s">
        <v>343</v>
      </c>
      <c r="B10" s="201"/>
      <c r="C10" s="201"/>
      <c r="D10" s="201"/>
      <c r="E10" s="202" t="s">
        <v>355</v>
      </c>
      <c r="F10" s="202"/>
      <c r="G10" s="202"/>
    </row>
    <row r="12" spans="1:34"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4"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4"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4" ht="296.39999999999998" x14ac:dyDescent="0.3">
      <c r="A15" s="47">
        <v>1</v>
      </c>
      <c r="B15" s="26" t="s">
        <v>313</v>
      </c>
      <c r="C15" s="31" t="s">
        <v>264</v>
      </c>
      <c r="D15" s="26" t="s">
        <v>202</v>
      </c>
      <c r="E15" s="26" t="s">
        <v>385</v>
      </c>
      <c r="F15" s="26">
        <v>1</v>
      </c>
      <c r="G15" s="26" t="s">
        <v>53</v>
      </c>
      <c r="H15" s="24" t="str">
        <f>INDEX(TABLAS!$B$14:$F$18,MATCH(F15,TABLAS!$A$14:$A$18,0),MATCH(G15,TABLAS!$B$13:$F$13,0))</f>
        <v>A</v>
      </c>
      <c r="I15" s="26" t="s">
        <v>265</v>
      </c>
      <c r="J15" s="27" t="s">
        <v>68</v>
      </c>
      <c r="K15" s="27">
        <f>IF(J15="","",VLOOKUP(J15,TABLAS!$A$30:$B$32,2,0))</f>
        <v>3</v>
      </c>
      <c r="L15" s="27" t="s">
        <v>65</v>
      </c>
      <c r="M15" s="27">
        <f>IF(L15="","",VLOOKUP(L15,TABLAS!$C$30:$D$33,2,0))</f>
        <v>3</v>
      </c>
      <c r="N15" s="27" t="s">
        <v>76</v>
      </c>
      <c r="O15" s="27">
        <f>+IF(N15="","",VLOOKUP(N15,TABLAS!$E$30:$F$33,2,0))</f>
        <v>3</v>
      </c>
      <c r="P15" s="27" t="s">
        <v>81</v>
      </c>
      <c r="Q15" s="27">
        <f>+IF(P15="","",VLOOKUP(P15,TABLAS!$G$30:$H$33,2,0))</f>
        <v>3</v>
      </c>
      <c r="R15" s="27" t="s">
        <v>87</v>
      </c>
      <c r="S15" s="27">
        <f>+IF(R15="","",VLOOKUP(R15,TABLAS!$I$30:$J$33,2,0))</f>
        <v>3</v>
      </c>
      <c r="T15" s="27">
        <f t="shared" ref="T15:T19" si="0">IFERROR(K15*25%+M15*10%+O15*25%+Q15*20%+S15*20%,0)</f>
        <v>3.0000000000000004</v>
      </c>
      <c r="U15" s="24">
        <f>+IF(F15=1,1,IF(T15&gt;=TABLAS!$A$39,F15-TABLAS!$C$39,F15))</f>
        <v>1</v>
      </c>
      <c r="V15" s="24" t="s">
        <v>51</v>
      </c>
      <c r="W15" s="24" t="str">
        <f>INDEX(TABLAS!$B$14:$F$18,MATCH(U15,TABLAS!$A$14:$A$18,0),MATCH(V15,TABLAS!$B$13:$F$13,0))</f>
        <v>B</v>
      </c>
      <c r="X15" s="26" t="str">
        <f>+VLOOKUP(W15,TABLAS!$A$22:$B$25,2,0)</f>
        <v>Asumir y monitoreo</v>
      </c>
      <c r="Y15" s="26" t="s">
        <v>266</v>
      </c>
      <c r="Z15" s="26" t="s">
        <v>317</v>
      </c>
      <c r="AA15" s="92" t="s">
        <v>132</v>
      </c>
      <c r="AB15" s="24" t="s">
        <v>36</v>
      </c>
      <c r="AC15" s="32"/>
      <c r="AD15" s="24" t="s">
        <v>36</v>
      </c>
      <c r="AE15" s="31" t="s">
        <v>656</v>
      </c>
      <c r="AF15" s="24" t="s">
        <v>36</v>
      </c>
      <c r="AG15" s="175" t="s">
        <v>649</v>
      </c>
      <c r="AH15" s="176"/>
    </row>
    <row r="16" spans="1:34" ht="109.2" x14ac:dyDescent="0.3">
      <c r="A16" s="211">
        <v>2</v>
      </c>
      <c r="B16" s="213" t="s">
        <v>314</v>
      </c>
      <c r="C16" s="26" t="s">
        <v>315</v>
      </c>
      <c r="D16" s="26" t="s">
        <v>203</v>
      </c>
      <c r="E16" s="26" t="s">
        <v>385</v>
      </c>
      <c r="F16" s="24">
        <v>1</v>
      </c>
      <c r="G16" s="24" t="s">
        <v>52</v>
      </c>
      <c r="H16" s="24" t="str">
        <f>INDEX(TABLAS!$B$14:$F$18,MATCH(F16,TABLAS!$A$14:$A$18,0),MATCH(G16,TABLAS!$B$13:$F$13,0))</f>
        <v>M</v>
      </c>
      <c r="I16" s="26" t="s">
        <v>316</v>
      </c>
      <c r="J16" s="27" t="s">
        <v>106</v>
      </c>
      <c r="K16" s="27">
        <f>IF(J16="","",VLOOKUP(J16,TABLAS!$A$30:$B$32,2,0))</f>
        <v>2</v>
      </c>
      <c r="L16" s="27" t="s">
        <v>72</v>
      </c>
      <c r="M16" s="27">
        <f>IF(L16="","",VLOOKUP(L16,TABLAS!$C$30:$D$33,2,0))</f>
        <v>2</v>
      </c>
      <c r="N16" s="27" t="s">
        <v>76</v>
      </c>
      <c r="O16" s="27">
        <f>+IF(N16="","",VLOOKUP(N16,TABLAS!$E$30:$F$33,2,0))</f>
        <v>3</v>
      </c>
      <c r="P16" s="27" t="s">
        <v>81</v>
      </c>
      <c r="Q16" s="27">
        <f>+IF(P16="","",VLOOKUP(P16,TABLAS!$G$30:$H$33,2,0))</f>
        <v>3</v>
      </c>
      <c r="R16" s="27" t="s">
        <v>88</v>
      </c>
      <c r="S16" s="27">
        <f>+IF(R16="","",VLOOKUP(R16,TABLAS!$I$30:$J$33,2,0))</f>
        <v>2</v>
      </c>
      <c r="T16" s="27">
        <f t="shared" si="0"/>
        <v>2.4499999999999997</v>
      </c>
      <c r="U16" s="24">
        <f>+IF(F16=1,1,IF(T16&gt;=TABLAS!$A$39,F16-TABLAS!$C$39,F16))</f>
        <v>1</v>
      </c>
      <c r="V16" s="24" t="s">
        <v>51</v>
      </c>
      <c r="W16" s="24" t="str">
        <f>INDEX(TABLAS!$B$14:$F$18,MATCH(U16,TABLAS!$A$14:$A$18,0),MATCH(V16,TABLAS!$B$13:$F$13,0))</f>
        <v>B</v>
      </c>
      <c r="X16" s="26" t="str">
        <f>+VLOOKUP(W16,TABLAS!$A$22:$B$25,2,0)</f>
        <v>Asumir y monitoreo</v>
      </c>
      <c r="Y16" s="26" t="s">
        <v>103</v>
      </c>
      <c r="Z16" s="26" t="s">
        <v>317</v>
      </c>
      <c r="AA16" s="26" t="s">
        <v>132</v>
      </c>
      <c r="AB16" s="24" t="s">
        <v>36</v>
      </c>
      <c r="AC16" s="24"/>
      <c r="AD16" s="24" t="s">
        <v>36</v>
      </c>
      <c r="AE16" s="92" t="s">
        <v>650</v>
      </c>
      <c r="AF16" s="24" t="s">
        <v>36</v>
      </c>
      <c r="AG16" s="92" t="s">
        <v>650</v>
      </c>
    </row>
    <row r="17" spans="1:33" ht="156" x14ac:dyDescent="0.3">
      <c r="A17" s="229"/>
      <c r="B17" s="214"/>
      <c r="C17" s="26" t="s">
        <v>318</v>
      </c>
      <c r="D17" s="26" t="s">
        <v>203</v>
      </c>
      <c r="E17" s="26" t="s">
        <v>385</v>
      </c>
      <c r="F17" s="24">
        <v>2</v>
      </c>
      <c r="G17" s="24" t="s">
        <v>52</v>
      </c>
      <c r="H17" s="24" t="str">
        <f>INDEX(TABLAS!$B$14:$F$18,MATCH(F17,TABLAS!$A$14:$A$18,0),MATCH(G17,TABLAS!$B$13:$F$13,0))</f>
        <v>M</v>
      </c>
      <c r="I17" s="26" t="s">
        <v>320</v>
      </c>
      <c r="J17" s="27" t="s">
        <v>69</v>
      </c>
      <c r="K17" s="27">
        <f>IF(J17="","",VLOOKUP(J17,TABLAS!$A$30:$B$32,2,0))</f>
        <v>1</v>
      </c>
      <c r="L17" s="27" t="s">
        <v>72</v>
      </c>
      <c r="M17" s="27">
        <f>IF(L17="","",VLOOKUP(L17,TABLAS!$C$30:$D$33,2,0))</f>
        <v>2</v>
      </c>
      <c r="N17" s="27" t="s">
        <v>76</v>
      </c>
      <c r="O17" s="27">
        <f>+IF(N17="","",VLOOKUP(N17,TABLAS!$E$30:$F$33,2,0))</f>
        <v>3</v>
      </c>
      <c r="P17" s="27" t="s">
        <v>81</v>
      </c>
      <c r="Q17" s="27">
        <f>+IF(P17="","",VLOOKUP(P17,TABLAS!$G$30:$H$33,2,0))</f>
        <v>3</v>
      </c>
      <c r="R17" s="27" t="s">
        <v>88</v>
      </c>
      <c r="S17" s="27">
        <f>+IF(R17="","",VLOOKUP(R17,TABLAS!$I$30:$J$33,2,0))</f>
        <v>2</v>
      </c>
      <c r="T17" s="27">
        <f t="shared" si="0"/>
        <v>2.2000000000000002</v>
      </c>
      <c r="U17" s="24">
        <f>+IF(F17=1,1,IF(T17&gt;=TABLAS!$A$39,F17-TABLAS!$C$39,F17))</f>
        <v>1</v>
      </c>
      <c r="V17" s="24" t="s">
        <v>51</v>
      </c>
      <c r="W17" s="24" t="str">
        <f>INDEX(TABLAS!$B$14:$F$18,MATCH(U17,TABLAS!$A$14:$A$18,0),MATCH(V17,TABLAS!$B$13:$F$13,0))</f>
        <v>B</v>
      </c>
      <c r="X17" s="26" t="str">
        <f>+VLOOKUP(W17,TABLAS!$A$22:$B$25,2,0)</f>
        <v>Asumir y monitoreo</v>
      </c>
      <c r="Y17" s="26" t="s">
        <v>103</v>
      </c>
      <c r="Z17" s="26" t="s">
        <v>319</v>
      </c>
      <c r="AA17" s="26" t="s">
        <v>132</v>
      </c>
      <c r="AB17" s="24" t="s">
        <v>36</v>
      </c>
      <c r="AC17" s="24"/>
      <c r="AD17" s="24" t="s">
        <v>36</v>
      </c>
      <c r="AE17" s="92" t="s">
        <v>651</v>
      </c>
      <c r="AF17" s="24" t="s">
        <v>36</v>
      </c>
      <c r="AG17" s="92" t="s">
        <v>652</v>
      </c>
    </row>
    <row r="18" spans="1:33" ht="156" x14ac:dyDescent="0.3">
      <c r="A18" s="212"/>
      <c r="B18" s="53" t="s">
        <v>321</v>
      </c>
      <c r="C18" s="26" t="s">
        <v>322</v>
      </c>
      <c r="D18" s="26" t="s">
        <v>375</v>
      </c>
      <c r="E18" s="26" t="s">
        <v>383</v>
      </c>
      <c r="F18" s="24">
        <v>3</v>
      </c>
      <c r="G18" s="24" t="s">
        <v>52</v>
      </c>
      <c r="H18" s="24" t="str">
        <f>INDEX(TABLAS!$B$14:$F$18,MATCH(F18,TABLAS!$A$14:$A$18,0),MATCH(G18,TABLAS!$B$13:$F$13,0))</f>
        <v>A</v>
      </c>
      <c r="I18" s="26" t="s">
        <v>328</v>
      </c>
      <c r="J18" s="27" t="s">
        <v>69</v>
      </c>
      <c r="K18" s="27">
        <f>IF(J18="","",VLOOKUP(J18,TABLAS!$A$30:$B$32,2,0))</f>
        <v>1</v>
      </c>
      <c r="L18" s="27" t="s">
        <v>72</v>
      </c>
      <c r="M18" s="27">
        <f>IF(L18="","",VLOOKUP(L18,TABLAS!$C$30:$D$33,2,0))</f>
        <v>2</v>
      </c>
      <c r="N18" s="27" t="s">
        <v>76</v>
      </c>
      <c r="O18" s="27">
        <f>+IF(N18="","",VLOOKUP(N18,TABLAS!$E$30:$F$33,2,0))</f>
        <v>3</v>
      </c>
      <c r="P18" s="27" t="s">
        <v>81</v>
      </c>
      <c r="Q18" s="27">
        <f>+IF(P18="","",VLOOKUP(P18,TABLAS!$G$30:$H$33,2,0))</f>
        <v>3</v>
      </c>
      <c r="R18" s="27" t="s">
        <v>88</v>
      </c>
      <c r="S18" s="27">
        <f>+IF(R18="","",VLOOKUP(R18,TABLAS!$I$30:$J$33,2,0))</f>
        <v>2</v>
      </c>
      <c r="T18" s="27">
        <f t="shared" si="0"/>
        <v>2.2000000000000002</v>
      </c>
      <c r="U18" s="24">
        <f>+IF(F18=1,1,IF(T18&gt;=TABLAS!$A$39,F18-TABLAS!$C$39,F18))</f>
        <v>2</v>
      </c>
      <c r="V18" s="24" t="s">
        <v>51</v>
      </c>
      <c r="W18" s="24" t="str">
        <f>INDEX(TABLAS!$B$14:$F$18,MATCH(U18,TABLAS!$A$14:$A$18,0),MATCH(V18,TABLAS!$B$13:$F$13,0))</f>
        <v>B</v>
      </c>
      <c r="X18" s="26" t="str">
        <f>+VLOOKUP(W18,TABLAS!$A$22:$B$25,2,0)</f>
        <v>Asumir y monitoreo</v>
      </c>
      <c r="Y18" s="26" t="s">
        <v>103</v>
      </c>
      <c r="Z18" s="26" t="s">
        <v>319</v>
      </c>
      <c r="AA18" s="26" t="s">
        <v>323</v>
      </c>
      <c r="AB18" s="24" t="s">
        <v>36</v>
      </c>
      <c r="AC18" s="24"/>
      <c r="AD18" s="24" t="s">
        <v>36</v>
      </c>
      <c r="AE18" s="92" t="s">
        <v>654</v>
      </c>
      <c r="AF18" s="24" t="s">
        <v>36</v>
      </c>
      <c r="AG18" s="92" t="s">
        <v>657</v>
      </c>
    </row>
    <row r="19" spans="1:33" ht="202.8" x14ac:dyDescent="0.3">
      <c r="A19" s="52">
        <v>3</v>
      </c>
      <c r="B19" s="26" t="s">
        <v>324</v>
      </c>
      <c r="C19" s="26" t="s">
        <v>325</v>
      </c>
      <c r="D19" s="26" t="s">
        <v>202</v>
      </c>
      <c r="E19" s="26" t="s">
        <v>385</v>
      </c>
      <c r="F19" s="24">
        <v>1</v>
      </c>
      <c r="G19" s="24" t="s">
        <v>52</v>
      </c>
      <c r="H19" s="24" t="str">
        <f>INDEX(TABLAS!$B$14:$F$18,MATCH(F19,TABLAS!$A$14:$A$18,0),MATCH(G19,TABLAS!$B$13:$F$13,0))</f>
        <v>M</v>
      </c>
      <c r="I19" s="26" t="s">
        <v>326</v>
      </c>
      <c r="J19" s="27" t="s">
        <v>106</v>
      </c>
      <c r="K19" s="27">
        <f>IF(J19="","",VLOOKUP(J19,TABLAS!$A$30:$B$32,2,0))</f>
        <v>2</v>
      </c>
      <c r="L19" s="27" t="s">
        <v>72</v>
      </c>
      <c r="M19" s="27">
        <f>IF(L19="","",VLOOKUP(L19,TABLAS!$C$30:$D$33,2,0))</f>
        <v>2</v>
      </c>
      <c r="N19" s="27" t="s">
        <v>76</v>
      </c>
      <c r="O19" s="27">
        <f>+IF(N19="","",VLOOKUP(N19,TABLAS!$E$30:$F$33,2,0))</f>
        <v>3</v>
      </c>
      <c r="P19" s="27" t="s">
        <v>81</v>
      </c>
      <c r="Q19" s="27">
        <f>+IF(P19="","",VLOOKUP(P19,TABLAS!$G$30:$H$33,2,0))</f>
        <v>3</v>
      </c>
      <c r="R19" s="27" t="s">
        <v>87</v>
      </c>
      <c r="S19" s="27">
        <f>+IF(R19="","",VLOOKUP(R19,TABLAS!$I$30:$J$33,2,0))</f>
        <v>3</v>
      </c>
      <c r="T19" s="27">
        <f t="shared" si="0"/>
        <v>2.65</v>
      </c>
      <c r="U19" s="24">
        <f>+IF(F19=1,1,IF(T19&gt;=TABLAS!$A$39,F19-TABLAS!$C$39,F19))</f>
        <v>1</v>
      </c>
      <c r="V19" s="24" t="s">
        <v>51</v>
      </c>
      <c r="W19" s="24" t="str">
        <f>INDEX(TABLAS!$B$14:$F$18,MATCH(U19,TABLAS!$A$14:$A$18,0),MATCH(V19,TABLAS!$B$13:$F$13,0))</f>
        <v>B</v>
      </c>
      <c r="X19" s="26" t="str">
        <f>+VLOOKUP(W19,TABLAS!$A$22:$B$25,2,0)</f>
        <v>Asumir y monitoreo</v>
      </c>
      <c r="Y19" s="26" t="s">
        <v>103</v>
      </c>
      <c r="Z19" s="26" t="s">
        <v>317</v>
      </c>
      <c r="AA19" s="24" t="s">
        <v>132</v>
      </c>
      <c r="AB19" s="24" t="s">
        <v>36</v>
      </c>
      <c r="AC19" s="24"/>
      <c r="AD19" s="24" t="s">
        <v>36</v>
      </c>
      <c r="AE19" s="92" t="s">
        <v>653</v>
      </c>
      <c r="AF19" s="24" t="s">
        <v>36</v>
      </c>
      <c r="AG19" s="92" t="s">
        <v>655</v>
      </c>
    </row>
    <row r="20" spans="1:33" x14ac:dyDescent="0.3">
      <c r="A20" s="51"/>
    </row>
    <row r="21" spans="1:33" ht="23.4" x14ac:dyDescent="0.3">
      <c r="A21" s="201" t="s">
        <v>587</v>
      </c>
      <c r="B21" s="201"/>
      <c r="C21" s="201"/>
      <c r="D21" s="201"/>
      <c r="E21" s="206" t="s">
        <v>589</v>
      </c>
      <c r="F21" s="206"/>
      <c r="G21" s="206"/>
      <c r="H21" s="206"/>
      <c r="I21" s="206"/>
    </row>
    <row r="22" spans="1:33" ht="6.75" customHeight="1" x14ac:dyDescent="0.3">
      <c r="E22" s="145"/>
      <c r="F22" s="145"/>
      <c r="G22" s="145"/>
      <c r="H22" s="145"/>
      <c r="I22" s="145"/>
    </row>
    <row r="23" spans="1:33" ht="23.4" x14ac:dyDescent="0.3">
      <c r="A23" s="201" t="s">
        <v>588</v>
      </c>
      <c r="B23" s="201"/>
      <c r="C23" s="201"/>
      <c r="D23" s="201"/>
      <c r="E23" s="206" t="s">
        <v>597</v>
      </c>
      <c r="F23" s="206"/>
      <c r="G23" s="206"/>
      <c r="H23" s="206"/>
      <c r="I23" s="206"/>
    </row>
  </sheetData>
  <mergeCells count="21">
    <mergeCell ref="A21:D21"/>
    <mergeCell ref="E21:I21"/>
    <mergeCell ref="A23:D23"/>
    <mergeCell ref="E23:I23"/>
    <mergeCell ref="AB12:AG13"/>
    <mergeCell ref="F13:G13"/>
    <mergeCell ref="X13:X14"/>
    <mergeCell ref="Y13:Y14"/>
    <mergeCell ref="Z13:Z14"/>
    <mergeCell ref="AA13:AA14"/>
    <mergeCell ref="F12:H12"/>
    <mergeCell ref="I12:T13"/>
    <mergeCell ref="U12:V13"/>
    <mergeCell ref="W12:W13"/>
    <mergeCell ref="X12:AA12"/>
    <mergeCell ref="A10:D10"/>
    <mergeCell ref="E10:G10"/>
    <mergeCell ref="A12:A14"/>
    <mergeCell ref="B12:E13"/>
    <mergeCell ref="B16:B17"/>
    <mergeCell ref="A16:A18"/>
  </mergeCells>
  <conditionalFormatting sqref="H16:H19 W16:W19">
    <cfRule type="expression" dxfId="15" priority="9" stopIfTrue="1">
      <formula>H16="E"</formula>
    </cfRule>
    <cfRule type="expression" dxfId="14" priority="10" stopIfTrue="1">
      <formula>H16="M"</formula>
    </cfRule>
    <cfRule type="expression" dxfId="13" priority="11" stopIfTrue="1">
      <formula>H16="B"</formula>
    </cfRule>
    <cfRule type="expression" dxfId="12" priority="12" stopIfTrue="1">
      <formula>H16="A"</formula>
    </cfRule>
  </conditionalFormatting>
  <conditionalFormatting sqref="H15 W15">
    <cfRule type="expression" dxfId="11" priority="1" stopIfTrue="1">
      <formula>H15="E"</formula>
    </cfRule>
    <cfRule type="expression" dxfId="10" priority="2" stopIfTrue="1">
      <formula>H15="M"</formula>
    </cfRule>
    <cfRule type="expression" dxfId="9" priority="3" stopIfTrue="1">
      <formula>H15="B"</formula>
    </cfRule>
    <cfRule type="expression" dxfId="8" priority="4" stopIfTrue="1">
      <formula>H15="A"</formula>
    </cfRule>
  </conditionalFormatting>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1900-000000000000}">
          <x14:formula1>
            <xm:f>TABLAS!$I$30:$I$33</xm:f>
          </x14:formula1>
          <xm:sqref>R15:R19</xm:sqref>
        </x14:dataValidation>
        <x14:dataValidation type="list" allowBlank="1" showInputMessage="1" showErrorMessage="1" xr:uid="{00000000-0002-0000-1900-000001000000}">
          <x14:formula1>
            <xm:f>TABLAS!$G$30:$G$33</xm:f>
          </x14:formula1>
          <xm:sqref>P15:P19</xm:sqref>
        </x14:dataValidation>
        <x14:dataValidation type="list" allowBlank="1" showInputMessage="1" showErrorMessage="1" xr:uid="{00000000-0002-0000-1900-000002000000}">
          <x14:formula1>
            <xm:f>TABLAS!$E$30:$E$33</xm:f>
          </x14:formula1>
          <xm:sqref>N15:N19</xm:sqref>
        </x14:dataValidation>
        <x14:dataValidation type="list" allowBlank="1" showInputMessage="1" showErrorMessage="1" xr:uid="{00000000-0002-0000-1900-000003000000}">
          <x14:formula1>
            <xm:f>TABLAS!$C$30:$C$33</xm:f>
          </x14:formula1>
          <xm:sqref>L15:L19</xm:sqref>
        </x14:dataValidation>
        <x14:dataValidation type="list" allowBlank="1" showInputMessage="1" showErrorMessage="1" xr:uid="{00000000-0002-0000-1900-000004000000}">
          <x14:formula1>
            <xm:f>TABLAS!$A$30:$A$32</xm:f>
          </x14:formula1>
          <xm:sqref>J15:J19</xm:sqref>
        </x14:dataValidation>
        <x14:dataValidation type="list" allowBlank="1" showInputMessage="1" showErrorMessage="1" xr:uid="{00000000-0002-0000-1900-000005000000}">
          <x14:formula1>
            <xm:f>TABLAS!$B$13:$F$13</xm:f>
          </x14:formula1>
          <xm:sqref>V15:V19 G15:G19</xm:sqref>
        </x14:dataValidation>
        <x14:dataValidation type="list" allowBlank="1" showInputMessage="1" showErrorMessage="1" xr:uid="{00000000-0002-0000-1900-000006000000}">
          <x14:formula1>
            <xm:f>TABLAS!$A$14:$A$18</xm:f>
          </x14:formula1>
          <xm:sqref>F15:F19</xm:sqref>
        </x14:dataValidation>
        <x14:dataValidation type="list" allowBlank="1" showInputMessage="1" showErrorMessage="1" xr:uid="{00000000-0002-0000-1900-000007000000}">
          <x14:formula1>
            <xm:f>TABLAS!$A$44:$A$52</xm:f>
          </x14:formula1>
          <xm:sqref>D15:D19</xm:sqref>
        </x14:dataValidation>
        <x14:dataValidation type="list" allowBlank="1" showInputMessage="1" showErrorMessage="1" xr:uid="{00000000-0002-0000-1900-000008000000}">
          <x14:formula1>
            <xm:f>TABLAS!$B$44:$B$52</xm:f>
          </x14:formula1>
          <xm:sqref>E15:E19</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sheetPr>
  <dimension ref="A10:S33"/>
  <sheetViews>
    <sheetView zoomScale="90" zoomScaleNormal="90" workbookViewId="0">
      <selection activeCell="G14" sqref="G14"/>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355</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43.2" x14ac:dyDescent="0.3">
      <c r="A13" s="155" t="s">
        <v>567</v>
      </c>
      <c r="B13" s="148" t="s">
        <v>550</v>
      </c>
      <c r="C13" s="149" t="s">
        <v>551</v>
      </c>
      <c r="D13" s="149" t="s">
        <v>553</v>
      </c>
      <c r="E13" s="150">
        <v>43709</v>
      </c>
      <c r="F13" s="139">
        <v>43800</v>
      </c>
      <c r="G13" s="126" t="s">
        <v>600</v>
      </c>
      <c r="H13" s="126"/>
      <c r="I13" s="126"/>
    </row>
    <row r="14" spans="1:9" s="89" customFormat="1" ht="28.8" x14ac:dyDescent="0.3">
      <c r="A14" s="155" t="s">
        <v>576</v>
      </c>
      <c r="B14" s="148" t="s">
        <v>266</v>
      </c>
      <c r="C14" s="149" t="s">
        <v>552</v>
      </c>
      <c r="D14" s="149" t="s">
        <v>553</v>
      </c>
      <c r="E14" s="150">
        <v>43709</v>
      </c>
      <c r="F14" s="139">
        <v>43800</v>
      </c>
      <c r="G14" s="126" t="s">
        <v>601</v>
      </c>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26"/>
      <c r="D20" s="126"/>
      <c r="E20" s="139"/>
      <c r="F20" s="139"/>
      <c r="G20" s="126"/>
      <c r="H20" s="126"/>
      <c r="I20" s="126"/>
    </row>
    <row r="21" spans="1:9" s="89" customFormat="1" ht="14.4" x14ac:dyDescent="0.3">
      <c r="A21" s="126"/>
      <c r="B21" s="126"/>
      <c r="C21" s="146"/>
      <c r="D21" s="126"/>
      <c r="E21" s="139"/>
      <c r="F21" s="139"/>
      <c r="G21" s="126"/>
      <c r="H21" s="126"/>
      <c r="I21" s="126"/>
    </row>
    <row r="22" spans="1:9" s="89" customFormat="1" ht="14.4" x14ac:dyDescent="0.3">
      <c r="A22" s="126"/>
      <c r="B22" s="126"/>
      <c r="C22" s="126"/>
      <c r="D22" s="126"/>
      <c r="E22" s="139"/>
      <c r="F22" s="139"/>
      <c r="G22" s="126"/>
      <c r="H22" s="126"/>
      <c r="I22" s="126"/>
    </row>
    <row r="23" spans="1:9" s="89" customFormat="1" ht="14.4" x14ac:dyDescent="0.3">
      <c r="A23" s="126"/>
      <c r="B23" s="126"/>
      <c r="C23" s="126"/>
      <c r="D23" s="126"/>
      <c r="E23" s="139"/>
      <c r="F23" s="126"/>
      <c r="G23" s="126"/>
      <c r="H23" s="126"/>
      <c r="I23" s="126"/>
    </row>
    <row r="24" spans="1:9" s="89" customFormat="1" ht="14.4" x14ac:dyDescent="0.3">
      <c r="A24" s="126"/>
      <c r="B24" s="126"/>
      <c r="C24" s="126"/>
      <c r="D24" s="126"/>
      <c r="E24" s="139"/>
      <c r="F24" s="126"/>
      <c r="G24" s="126"/>
      <c r="H24" s="126"/>
      <c r="I24" s="126"/>
    </row>
    <row r="25" spans="1:9" s="89" customFormat="1" ht="14.4" x14ac:dyDescent="0.3">
      <c r="A25" s="126"/>
      <c r="B25" s="126"/>
      <c r="C25" s="126"/>
      <c r="D25" s="126"/>
      <c r="E25" s="126"/>
      <c r="F25" s="126"/>
      <c r="G25" s="126"/>
      <c r="H25" s="126"/>
      <c r="I25" s="126"/>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29" spans="1:9" s="89" customFormat="1" ht="14.4" x14ac:dyDescent="0.3">
      <c r="A29" s="90"/>
      <c r="B29" s="90"/>
      <c r="C29" s="90"/>
      <c r="D29" s="90"/>
      <c r="E29" s="90"/>
      <c r="F29" s="90"/>
      <c r="G29" s="90"/>
      <c r="H29" s="90"/>
      <c r="I29" s="90"/>
    </row>
    <row r="31" spans="1:9" ht="23.4" x14ac:dyDescent="0.3">
      <c r="A31" s="201" t="s">
        <v>590</v>
      </c>
      <c r="B31" s="201"/>
      <c r="C31" s="201"/>
      <c r="D31" s="201"/>
      <c r="E31" s="206" t="s">
        <v>589</v>
      </c>
      <c r="F31" s="206"/>
      <c r="G31" s="206"/>
      <c r="H31" s="206"/>
      <c r="I31" s="206"/>
    </row>
    <row r="32" spans="1:9" ht="6.75" customHeight="1" x14ac:dyDescent="0.3"/>
    <row r="33" spans="1:9" ht="23.4" x14ac:dyDescent="0.3">
      <c r="A33" s="201" t="s">
        <v>591</v>
      </c>
      <c r="B33" s="201"/>
      <c r="C33" s="201"/>
      <c r="D33" s="201"/>
      <c r="E33" s="206" t="s">
        <v>597</v>
      </c>
      <c r="F33" s="206"/>
      <c r="G33" s="206"/>
      <c r="H33" s="206"/>
      <c r="I33" s="206"/>
    </row>
  </sheetData>
  <sheetProtection algorithmName="SHA-512" hashValue="c/23s/iRmP/rrbiFjCpJtHp04AQSkzsj9qXCh6jwTQKEYpP+420oGaIbR3LY6i7o3CcYkbN8nDJWEqY+ZJnpcw==" saltValue="RBGgZtxPj9WD29Mrj1hGIA==" spinCount="100000" sheet="1" objects="1" scenarios="1"/>
  <mergeCells count="6">
    <mergeCell ref="A10:D10"/>
    <mergeCell ref="E10:G10"/>
    <mergeCell ref="A31:D31"/>
    <mergeCell ref="E31:I31"/>
    <mergeCell ref="A33:D33"/>
    <mergeCell ref="E33:I33"/>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0:AG25"/>
  <sheetViews>
    <sheetView topLeftCell="N8" zoomScale="90" zoomScaleNormal="90" workbookViewId="0">
      <selection activeCell="N30" sqref="N30"/>
    </sheetView>
  </sheetViews>
  <sheetFormatPr baseColWidth="10" defaultColWidth="11.44140625" defaultRowHeight="15.6" x14ac:dyDescent="0.3"/>
  <cols>
    <col min="1" max="1" width="11.44140625" style="160"/>
    <col min="2" max="5" width="18.44140625" style="160" customWidth="1"/>
    <col min="6" max="6" width="15.5546875" style="160" customWidth="1"/>
    <col min="7" max="7" width="15.109375" style="160" customWidth="1"/>
    <col min="8" max="8" width="14.33203125" style="160" customWidth="1"/>
    <col min="9" max="9" width="28.109375" style="160" customWidth="1"/>
    <col min="10" max="10" width="17.33203125" style="160" customWidth="1"/>
    <col min="11" max="11" width="19.109375" style="160" hidden="1" customWidth="1"/>
    <col min="12" max="12" width="16.44140625" style="160" customWidth="1"/>
    <col min="13" max="13" width="19.109375" style="160" hidden="1" customWidth="1"/>
    <col min="14" max="14" width="15.88671875" style="160" bestFit="1" customWidth="1"/>
    <col min="15" max="15" width="19.109375" style="160" hidden="1" customWidth="1"/>
    <col min="16" max="16" width="14" style="160" customWidth="1"/>
    <col min="17" max="17" width="19.109375" style="160" hidden="1" customWidth="1"/>
    <col min="18" max="18" width="14.5546875" style="160" bestFit="1" customWidth="1"/>
    <col min="19" max="19" width="19.109375" style="160" hidden="1" customWidth="1"/>
    <col min="20" max="20" width="14.88671875" style="160" customWidth="1"/>
    <col min="21" max="21" width="19.5546875" style="160" customWidth="1"/>
    <col min="22" max="22" width="18.6640625" style="160" customWidth="1"/>
    <col min="23" max="23" width="19" style="160" customWidth="1"/>
    <col min="24" max="24" width="19.88671875" style="160" customWidth="1"/>
    <col min="25" max="25" width="17.33203125" style="160" customWidth="1"/>
    <col min="26" max="26" width="16.88671875" style="160" customWidth="1"/>
    <col min="27" max="27" width="22.88671875" style="160" customWidth="1"/>
    <col min="28" max="28" width="14.44140625" style="160" bestFit="1" customWidth="1"/>
    <col min="29" max="29" width="18.44140625" style="160" customWidth="1"/>
    <col min="30" max="30" width="14.44140625" style="160" customWidth="1"/>
    <col min="31" max="31" width="17.33203125" style="160" customWidth="1"/>
    <col min="32" max="32" width="14.6640625" style="160" customWidth="1"/>
    <col min="33" max="33" width="18.88671875" style="160" customWidth="1"/>
    <col min="34" max="16384" width="11.44140625" style="160"/>
  </cols>
  <sheetData>
    <row r="10" spans="1:33" ht="23.4" x14ac:dyDescent="0.3">
      <c r="A10" s="201" t="s">
        <v>343</v>
      </c>
      <c r="B10" s="201"/>
      <c r="C10" s="201"/>
      <c r="D10" s="201"/>
      <c r="E10" s="202" t="s">
        <v>355</v>
      </c>
      <c r="F10" s="202"/>
      <c r="G10" s="202"/>
    </row>
    <row r="12" spans="1:33"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ht="32.25" customHeight="1" x14ac:dyDescent="0.3">
      <c r="A13" s="209"/>
      <c r="B13" s="204"/>
      <c r="C13" s="205"/>
      <c r="D13" s="205"/>
      <c r="E13" s="205"/>
      <c r="F13" s="185" t="s">
        <v>110</v>
      </c>
      <c r="G13" s="185"/>
      <c r="H13" s="161"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ht="72.75" customHeight="1" x14ac:dyDescent="0.3">
      <c r="A14" s="210"/>
      <c r="B14" s="162" t="s">
        <v>178</v>
      </c>
      <c r="C14" s="162" t="s">
        <v>172</v>
      </c>
      <c r="D14" s="165" t="s">
        <v>373</v>
      </c>
      <c r="E14" s="165" t="s">
        <v>372</v>
      </c>
      <c r="F14" s="161" t="s">
        <v>2</v>
      </c>
      <c r="G14" s="161" t="s">
        <v>3</v>
      </c>
      <c r="H14" s="161" t="s">
        <v>4</v>
      </c>
      <c r="I14" s="161" t="s">
        <v>5</v>
      </c>
      <c r="J14" s="161" t="s">
        <v>66</v>
      </c>
      <c r="K14" s="161" t="s">
        <v>90</v>
      </c>
      <c r="L14" s="161" t="s">
        <v>91</v>
      </c>
      <c r="M14" s="161" t="s">
        <v>90</v>
      </c>
      <c r="N14" s="161" t="s">
        <v>92</v>
      </c>
      <c r="O14" s="161" t="s">
        <v>90</v>
      </c>
      <c r="P14" s="161" t="s">
        <v>93</v>
      </c>
      <c r="Q14" s="161" t="s">
        <v>90</v>
      </c>
      <c r="R14" s="161" t="s">
        <v>94</v>
      </c>
      <c r="S14" s="161" t="s">
        <v>90</v>
      </c>
      <c r="T14" s="161" t="s">
        <v>110</v>
      </c>
      <c r="U14" s="165" t="s">
        <v>6</v>
      </c>
      <c r="V14" s="165" t="s">
        <v>7</v>
      </c>
      <c r="W14" s="165" t="s">
        <v>15</v>
      </c>
      <c r="X14" s="185"/>
      <c r="Y14" s="185"/>
      <c r="Z14" s="185"/>
      <c r="AA14" s="185"/>
      <c r="AB14" s="41" t="s">
        <v>10</v>
      </c>
      <c r="AC14" s="41" t="s">
        <v>11</v>
      </c>
      <c r="AD14" s="41" t="s">
        <v>12</v>
      </c>
      <c r="AE14" s="41" t="s">
        <v>11</v>
      </c>
      <c r="AF14" s="41" t="s">
        <v>13</v>
      </c>
      <c r="AG14" s="41" t="s">
        <v>11</v>
      </c>
    </row>
    <row r="15" spans="1:33" ht="110.25" customHeight="1" x14ac:dyDescent="0.3">
      <c r="A15" s="211">
        <v>1</v>
      </c>
      <c r="B15" s="230" t="s">
        <v>327</v>
      </c>
      <c r="C15" s="34" t="s">
        <v>613</v>
      </c>
      <c r="D15" s="92" t="s">
        <v>203</v>
      </c>
      <c r="E15" s="92" t="s">
        <v>385</v>
      </c>
      <c r="F15" s="24">
        <v>3</v>
      </c>
      <c r="G15" s="24" t="s">
        <v>52</v>
      </c>
      <c r="H15" s="24" t="str">
        <f>INDEX([1]TABLAS!$B$14:$F$18,MATCH(F15,[1]TABLAS!$A$14:$A$18,0),MATCH(G15,[1]TABLAS!$B$13:$F$13,0))</f>
        <v>A</v>
      </c>
      <c r="I15" s="92" t="s">
        <v>614</v>
      </c>
      <c r="J15" s="27" t="s">
        <v>69</v>
      </c>
      <c r="K15" s="27">
        <f>IF(J15="","",VLOOKUP(J15,[1]TABLAS!$A$30:$B$32,2,0))</f>
        <v>1</v>
      </c>
      <c r="L15" s="27" t="s">
        <v>65</v>
      </c>
      <c r="M15" s="27">
        <f>IF(L15="","",VLOOKUP(L15,[1]TABLAS!$C$30:$D$33,2,0))</f>
        <v>3</v>
      </c>
      <c r="N15" s="27" t="s">
        <v>76</v>
      </c>
      <c r="O15" s="27">
        <f>+IF(N15="","",VLOOKUP(N15,[1]TABLAS!$E$30:$F$33,2,0))</f>
        <v>3</v>
      </c>
      <c r="P15" s="27" t="s">
        <v>81</v>
      </c>
      <c r="Q15" s="27">
        <f>+IF(P15="","",VLOOKUP(P15,[1]TABLAS!$G$30:$H$33,2,0))</f>
        <v>3</v>
      </c>
      <c r="R15" s="27" t="s">
        <v>87</v>
      </c>
      <c r="S15" s="27">
        <f>+IF(R15="","",VLOOKUP(R15,[1]TABLAS!$I$30:$J$33,2,0))</f>
        <v>3</v>
      </c>
      <c r="T15" s="27">
        <f t="shared" ref="T15:T21" si="0">IFERROR(K15*25%+M15*10%+O15*25%+Q15*20%+S15*20%,0)</f>
        <v>2.5</v>
      </c>
      <c r="U15" s="24">
        <f>+IF(F15=1,1,IF(T15&gt;=[1]TABLAS!$A$39,F15-[1]TABLAS!$C$39,F15))</f>
        <v>2</v>
      </c>
      <c r="V15" s="24" t="s">
        <v>52</v>
      </c>
      <c r="W15" s="24" t="str">
        <f>INDEX([1]TABLAS!$B$14:$F$18,MATCH(U15,[1]TABLAS!$A$14:$A$18,0),MATCH(V15,[1]TABLAS!$B$13:$F$13,0))</f>
        <v>M</v>
      </c>
      <c r="X15" s="92" t="str">
        <f>+VLOOKUP(W15,[1]TABLAS!$A$22:$B$25,2,0)</f>
        <v>Asumir, mitigar el riesgo</v>
      </c>
      <c r="Y15" s="92"/>
      <c r="Z15" s="92" t="s">
        <v>615</v>
      </c>
      <c r="AA15" s="29" t="s">
        <v>616</v>
      </c>
      <c r="AB15" s="140"/>
      <c r="AC15" s="24"/>
      <c r="AD15" s="140"/>
      <c r="AE15" s="24"/>
      <c r="AF15" s="24" t="s">
        <v>36</v>
      </c>
      <c r="AG15" s="92" t="s">
        <v>661</v>
      </c>
    </row>
    <row r="16" spans="1:33" ht="110.25" customHeight="1" x14ac:dyDescent="0.3">
      <c r="A16" s="212"/>
      <c r="B16" s="231"/>
      <c r="C16" s="34" t="s">
        <v>617</v>
      </c>
      <c r="D16" s="92" t="s">
        <v>203</v>
      </c>
      <c r="E16" s="92" t="s">
        <v>385</v>
      </c>
      <c r="F16" s="24">
        <v>2</v>
      </c>
      <c r="G16" s="24" t="s">
        <v>52</v>
      </c>
      <c r="H16" s="24" t="str">
        <f>INDEX([1]TABLAS!$B$14:$F$18,MATCH(F16,[1]TABLAS!$A$14:$A$18,0),MATCH(G16,[1]TABLAS!$B$13:$F$13,0))</f>
        <v>M</v>
      </c>
      <c r="I16" s="92" t="s">
        <v>618</v>
      </c>
      <c r="J16" s="27" t="s">
        <v>69</v>
      </c>
      <c r="K16" s="27">
        <f>IF(J16="","",VLOOKUP(J16,[1]TABLAS!$A$30:$B$32,2,0))</f>
        <v>1</v>
      </c>
      <c r="L16" s="27" t="s">
        <v>65</v>
      </c>
      <c r="M16" s="27">
        <f>IF(L16="","",VLOOKUP(L16,[1]TABLAS!$C$30:$D$33,2,0))</f>
        <v>3</v>
      </c>
      <c r="N16" s="27" t="s">
        <v>76</v>
      </c>
      <c r="O16" s="27">
        <f>+IF(N16="","",VLOOKUP(N16,[1]TABLAS!$E$30:$F$33,2,0))</f>
        <v>3</v>
      </c>
      <c r="P16" s="27" t="s">
        <v>81</v>
      </c>
      <c r="Q16" s="27">
        <f>+IF(P16="","",VLOOKUP(P16,[1]TABLAS!$G$30:$H$33,2,0))</f>
        <v>3</v>
      </c>
      <c r="R16" s="27" t="s">
        <v>87</v>
      </c>
      <c r="S16" s="27"/>
      <c r="T16" s="27">
        <f t="shared" si="0"/>
        <v>1.9000000000000001</v>
      </c>
      <c r="U16" s="24">
        <f>+IF(F16=1,1,IF(T16&gt;=[1]TABLAS!$A$39,F16-[1]TABLAS!$C$39,F16))</f>
        <v>2</v>
      </c>
      <c r="V16" s="24" t="s">
        <v>52</v>
      </c>
      <c r="W16" s="24" t="str">
        <f>INDEX([1]TABLAS!$B$14:$F$18,MATCH(U16,[1]TABLAS!$A$14:$A$18,0),MATCH(V16,[1]TABLAS!$B$13:$F$13,0))</f>
        <v>M</v>
      </c>
      <c r="X16" s="92" t="str">
        <f>+VLOOKUP(W16,[1]TABLAS!$A$22:$B$25,2,0)</f>
        <v>Asumir, mitigar el riesgo</v>
      </c>
      <c r="Y16" s="92"/>
      <c r="Z16" s="92" t="s">
        <v>619</v>
      </c>
      <c r="AA16" s="29" t="s">
        <v>132</v>
      </c>
      <c r="AB16" s="140"/>
      <c r="AC16" s="24"/>
      <c r="AD16" s="140"/>
      <c r="AE16" s="24"/>
      <c r="AF16" s="24" t="s">
        <v>36</v>
      </c>
      <c r="AG16" s="24"/>
    </row>
    <row r="17" spans="1:33" ht="78" x14ac:dyDescent="0.3">
      <c r="A17" s="211">
        <v>2</v>
      </c>
      <c r="B17" s="213" t="s">
        <v>620</v>
      </c>
      <c r="C17" s="34" t="s">
        <v>621</v>
      </c>
      <c r="D17" s="92" t="s">
        <v>203</v>
      </c>
      <c r="E17" s="92" t="s">
        <v>385</v>
      </c>
      <c r="F17" s="24">
        <v>3</v>
      </c>
      <c r="G17" s="24" t="s">
        <v>53</v>
      </c>
      <c r="H17" s="24" t="str">
        <f>INDEX([1]TABLAS!$B$14:$F$18,MATCH(F17,[1]TABLAS!$A$14:$A$18,0),MATCH(G17,[1]TABLAS!$B$13:$F$13,0))</f>
        <v>E</v>
      </c>
      <c r="I17" s="92" t="s">
        <v>329</v>
      </c>
      <c r="J17" s="27" t="s">
        <v>69</v>
      </c>
      <c r="K17" s="27">
        <f>IF(J17="","",VLOOKUP(J17,[1]TABLAS!$A$30:$B$32,2,0))</f>
        <v>1</v>
      </c>
      <c r="L17" s="27" t="s">
        <v>65</v>
      </c>
      <c r="M17" s="27">
        <f>IF(L17="","",VLOOKUP(L17,[1]TABLAS!$C$30:$D$33,2,0))</f>
        <v>3</v>
      </c>
      <c r="N17" s="27" t="s">
        <v>76</v>
      </c>
      <c r="O17" s="27">
        <f>+IF(N17="","",VLOOKUP(N17,[1]TABLAS!$E$30:$F$33,2,0))</f>
        <v>3</v>
      </c>
      <c r="P17" s="27" t="s">
        <v>82</v>
      </c>
      <c r="Q17" s="27">
        <f>+IF(P17="","",VLOOKUP(P17,[1]TABLAS!$G$30:$H$33,2,0))</f>
        <v>2</v>
      </c>
      <c r="R17" s="27" t="s">
        <v>87</v>
      </c>
      <c r="S17" s="27">
        <f>+IF(R17="","",VLOOKUP(R17,[1]TABLAS!$I$30:$J$33,2,0))</f>
        <v>3</v>
      </c>
      <c r="T17" s="27">
        <f t="shared" si="0"/>
        <v>2.3000000000000003</v>
      </c>
      <c r="U17" s="24">
        <f>+IF(F17=1,1,IF(T17&gt;=[1]TABLAS!$A$39,F17-[1]TABLAS!$C$39,F17))</f>
        <v>2</v>
      </c>
      <c r="V17" s="24" t="s">
        <v>52</v>
      </c>
      <c r="W17" s="24" t="str">
        <f>INDEX([1]TABLAS!$B$14:$F$18,MATCH(U17,[1]TABLAS!$A$14:$A$18,0),MATCH(V17,[1]TABLAS!$B$13:$F$13,0))</f>
        <v>M</v>
      </c>
      <c r="X17" s="92" t="str">
        <f>+VLOOKUP(W17,[1]TABLAS!$A$22:$B$25,2,0)</f>
        <v>Asumir, mitigar el riesgo</v>
      </c>
      <c r="Y17" s="92"/>
      <c r="Z17" s="92" t="s">
        <v>622</v>
      </c>
      <c r="AA17" s="92" t="s">
        <v>623</v>
      </c>
      <c r="AB17" s="140"/>
      <c r="AC17" s="24"/>
      <c r="AD17" s="140"/>
      <c r="AE17" s="24"/>
      <c r="AF17" s="177"/>
      <c r="AG17" s="24"/>
    </row>
    <row r="18" spans="1:33" ht="124.8" x14ac:dyDescent="0.3">
      <c r="A18" s="212"/>
      <c r="B18" s="214"/>
      <c r="C18" s="31" t="s">
        <v>624</v>
      </c>
      <c r="D18" s="92" t="s">
        <v>202</v>
      </c>
      <c r="E18" s="92" t="s">
        <v>383</v>
      </c>
      <c r="F18" s="92">
        <v>1</v>
      </c>
      <c r="G18" s="92" t="s">
        <v>53</v>
      </c>
      <c r="H18" s="24" t="str">
        <f>INDEX([1]TABLAS!$B$14:$F$18,MATCH(F18,[1]TABLAS!$A$14:$A$18,0),MATCH(G18,[1]TABLAS!$B$13:$F$13,0))</f>
        <v>A</v>
      </c>
      <c r="I18" s="92" t="s">
        <v>625</v>
      </c>
      <c r="J18" s="27" t="s">
        <v>69</v>
      </c>
      <c r="K18" s="27">
        <f>IF(J18="","",VLOOKUP(J18,[1]TABLAS!$A$30:$B$32,2,0))</f>
        <v>1</v>
      </c>
      <c r="L18" s="27" t="s">
        <v>65</v>
      </c>
      <c r="M18" s="27">
        <f>IF(L18="","",VLOOKUP(L18,[1]TABLAS!$C$30:$D$33,2,0))</f>
        <v>3</v>
      </c>
      <c r="N18" s="27" t="s">
        <v>76</v>
      </c>
      <c r="O18" s="27">
        <f>+IF(N18="","",VLOOKUP(N18,[1]TABLAS!$E$30:$F$33,2,0))</f>
        <v>3</v>
      </c>
      <c r="P18" s="27" t="s">
        <v>81</v>
      </c>
      <c r="Q18" s="27">
        <f>+IF(P18="","",VLOOKUP(P18,[1]TABLAS!$G$30:$H$33,2,0))</f>
        <v>3</v>
      </c>
      <c r="R18" s="27" t="s">
        <v>87</v>
      </c>
      <c r="S18" s="27">
        <f>+IF(R18="","",VLOOKUP(R18,[1]TABLAS!$I$30:$J$33,2,0))</f>
        <v>3</v>
      </c>
      <c r="T18" s="27">
        <f t="shared" si="0"/>
        <v>2.5</v>
      </c>
      <c r="U18" s="24">
        <f>+IF(F18=1,1,IF(T18&gt;=[1]TABLAS!$A$39,F18-[1]TABLAS!$C$39,F18))</f>
        <v>1</v>
      </c>
      <c r="V18" s="24" t="s">
        <v>52</v>
      </c>
      <c r="W18" s="24" t="str">
        <f>INDEX([1]TABLAS!$B$14:$F$18,MATCH(U18,[1]TABLAS!$A$14:$A$18,0),MATCH(V18,[1]TABLAS!$B$13:$F$13,0))</f>
        <v>M</v>
      </c>
      <c r="X18" s="92" t="str">
        <f>+VLOOKUP(W18,[1]TABLAS!$A$22:$B$25,2,0)</f>
        <v>Asumir, mitigar el riesgo</v>
      </c>
      <c r="Y18" s="92"/>
      <c r="Z18" s="92" t="s">
        <v>615</v>
      </c>
      <c r="AA18" s="92" t="s">
        <v>626</v>
      </c>
      <c r="AB18" s="140"/>
      <c r="AC18" s="32"/>
      <c r="AD18" s="167"/>
      <c r="AE18" s="32"/>
      <c r="AF18" s="178"/>
      <c r="AG18" s="92" t="s">
        <v>661</v>
      </c>
    </row>
    <row r="19" spans="1:33" ht="124.8" x14ac:dyDescent="0.3">
      <c r="A19" s="163">
        <v>3</v>
      </c>
      <c r="B19" s="168" t="s">
        <v>627</v>
      </c>
      <c r="C19" s="31" t="s">
        <v>628</v>
      </c>
      <c r="D19" s="92" t="s">
        <v>202</v>
      </c>
      <c r="E19" s="92" t="s">
        <v>383</v>
      </c>
      <c r="F19" s="92">
        <v>2</v>
      </c>
      <c r="G19" s="92" t="s">
        <v>53</v>
      </c>
      <c r="H19" s="24" t="str">
        <f>INDEX([1]TABLAS!$B$14:$F$18,MATCH(F19,[1]TABLAS!$A$14:$A$18,0),MATCH(G19,[1]TABLAS!$B$13:$F$13,0))</f>
        <v>A</v>
      </c>
      <c r="I19" s="92" t="s">
        <v>329</v>
      </c>
      <c r="J19" s="27" t="s">
        <v>69</v>
      </c>
      <c r="K19" s="27">
        <f>IF(J19="","",VLOOKUP(J19,[1]TABLAS!$A$30:$B$32,2,0))</f>
        <v>1</v>
      </c>
      <c r="L19" s="27" t="s">
        <v>65</v>
      </c>
      <c r="M19" s="27">
        <f>IF(L19="","",VLOOKUP(L19,[1]TABLAS!$C$30:$D$33,2,0))</f>
        <v>3</v>
      </c>
      <c r="N19" s="27" t="s">
        <v>76</v>
      </c>
      <c r="O19" s="27">
        <f>+IF(N19="","",VLOOKUP(N19,[1]TABLAS!$E$30:$F$33,2,0))</f>
        <v>3</v>
      </c>
      <c r="P19" s="27" t="s">
        <v>81</v>
      </c>
      <c r="Q19" s="27">
        <f>+IF(P19="","",VLOOKUP(P19,[1]TABLAS!$G$30:$H$33,2,0))</f>
        <v>3</v>
      </c>
      <c r="R19" s="27" t="s">
        <v>87</v>
      </c>
      <c r="S19" s="27">
        <f>+IF(R19="","",VLOOKUP(R19,[1]TABLAS!$I$30:$J$33,2,0))</f>
        <v>3</v>
      </c>
      <c r="T19" s="27">
        <f t="shared" si="0"/>
        <v>2.5</v>
      </c>
      <c r="U19" s="24">
        <f>+IF(F19=1,1,IF(T19&gt;=[1]TABLAS!$A$39,F19-[1]TABLAS!$C$39,F19))</f>
        <v>1</v>
      </c>
      <c r="V19" s="24" t="s">
        <v>52</v>
      </c>
      <c r="W19" s="24" t="str">
        <f>INDEX([1]TABLAS!$B$14:$F$18,MATCH(U19,[1]TABLAS!$A$14:$A$18,0),MATCH(V19,[1]TABLAS!$B$13:$F$13,0))</f>
        <v>M</v>
      </c>
      <c r="X19" s="92" t="str">
        <f>+VLOOKUP(W19,[1]TABLAS!$A$22:$B$25,2,0)</f>
        <v>Asumir, mitigar el riesgo</v>
      </c>
      <c r="Y19" s="92"/>
      <c r="Z19" s="92" t="s">
        <v>615</v>
      </c>
      <c r="AA19" s="92" t="s">
        <v>629</v>
      </c>
      <c r="AB19" s="140"/>
      <c r="AC19" s="32"/>
      <c r="AD19" s="167"/>
      <c r="AE19" s="32"/>
      <c r="AF19" s="24" t="s">
        <v>36</v>
      </c>
      <c r="AG19" s="92" t="s">
        <v>661</v>
      </c>
    </row>
    <row r="20" spans="1:33" ht="78" x14ac:dyDescent="0.3">
      <c r="A20" s="163">
        <v>4</v>
      </c>
      <c r="B20" s="168" t="s">
        <v>630</v>
      </c>
      <c r="C20" s="31" t="s">
        <v>631</v>
      </c>
      <c r="D20" s="92" t="s">
        <v>203</v>
      </c>
      <c r="E20" s="92" t="s">
        <v>385</v>
      </c>
      <c r="F20" s="92">
        <v>3</v>
      </c>
      <c r="G20" s="92" t="s">
        <v>52</v>
      </c>
      <c r="H20" s="24" t="str">
        <f>INDEX([1]TABLAS!$B$14:$F$18,MATCH(F20,[1]TABLAS!$A$14:$A$18,0),MATCH(G20,[1]TABLAS!$B$13:$F$13,0))</f>
        <v>A</v>
      </c>
      <c r="I20" s="92" t="s">
        <v>632</v>
      </c>
      <c r="J20" s="27" t="s">
        <v>69</v>
      </c>
      <c r="K20" s="27">
        <f>IF(J20="","",VLOOKUP(J20,[1]TABLAS!$A$30:$B$32,2,0))</f>
        <v>1</v>
      </c>
      <c r="L20" s="27" t="s">
        <v>65</v>
      </c>
      <c r="M20" s="27">
        <f>IF(L20="","",VLOOKUP(L20,[1]TABLAS!$C$30:$D$33,2,0))</f>
        <v>3</v>
      </c>
      <c r="N20" s="27" t="s">
        <v>79</v>
      </c>
      <c r="O20" s="27">
        <f>+IF(N20="","",VLOOKUP(N20,[1]TABLAS!$E$30:$F$33,2,0))</f>
        <v>0</v>
      </c>
      <c r="P20" s="27" t="s">
        <v>83</v>
      </c>
      <c r="Q20" s="27">
        <f>+IF(P20="","",VLOOKUP(P20,[1]TABLAS!$G$30:$H$33,2,0))</f>
        <v>1</v>
      </c>
      <c r="R20" s="27" t="s">
        <v>89</v>
      </c>
      <c r="S20" s="27">
        <f>+IF(R20="","",VLOOKUP(R20,[1]TABLAS!$I$30:$J$33,2,0))</f>
        <v>0</v>
      </c>
      <c r="T20" s="27">
        <f t="shared" si="0"/>
        <v>0.75</v>
      </c>
      <c r="U20" s="24">
        <f>+IF(F20=1,1,IF(T20&gt;=[1]TABLAS!$A$39,F20-[1]TABLAS!$C$39,F20))</f>
        <v>3</v>
      </c>
      <c r="V20" s="24" t="s">
        <v>52</v>
      </c>
      <c r="W20" s="24" t="str">
        <f>INDEX([1]TABLAS!$B$14:$F$18,MATCH(U20,[1]TABLAS!$A$14:$A$18,0),MATCH(V20,[1]TABLAS!$B$13:$F$13,0))</f>
        <v>A</v>
      </c>
      <c r="X20" s="92" t="str">
        <f>+VLOOKUP(W20,[1]TABLAS!$A$22:$B$25,2,0)</f>
        <v>Plan de Acción para mitigar, evitar, compartir o transferir el riesgo.</v>
      </c>
      <c r="Y20" s="92" t="s">
        <v>633</v>
      </c>
      <c r="Z20" s="92" t="s">
        <v>634</v>
      </c>
      <c r="AA20" s="29">
        <v>44166</v>
      </c>
      <c r="AB20" s="140"/>
      <c r="AC20" s="32"/>
      <c r="AD20" s="167"/>
      <c r="AE20" s="32"/>
      <c r="AF20" s="24" t="s">
        <v>36</v>
      </c>
      <c r="AG20" s="92" t="s">
        <v>480</v>
      </c>
    </row>
    <row r="21" spans="1:33" ht="202.8" x14ac:dyDescent="0.3">
      <c r="A21" s="163">
        <v>5</v>
      </c>
      <c r="B21" s="168" t="s">
        <v>635</v>
      </c>
      <c r="C21" s="164" t="s">
        <v>636</v>
      </c>
      <c r="D21" s="92" t="s">
        <v>203</v>
      </c>
      <c r="E21" s="92" t="s">
        <v>383</v>
      </c>
      <c r="F21" s="92">
        <v>2</v>
      </c>
      <c r="G21" s="92" t="s">
        <v>53</v>
      </c>
      <c r="H21" s="24" t="str">
        <f>INDEX([1]TABLAS!$B$14:$F$18,MATCH(F21,[1]TABLAS!$A$14:$A$18,0),MATCH(G21,[1]TABLAS!$B$13:$F$13,0))</f>
        <v>A</v>
      </c>
      <c r="I21" s="92" t="s">
        <v>637</v>
      </c>
      <c r="J21" s="27" t="s">
        <v>106</v>
      </c>
      <c r="K21" s="27">
        <f>IF(J21="","",VLOOKUP(J21,[1]TABLAS!$A$30:$B$32,2,0))</f>
        <v>2</v>
      </c>
      <c r="L21" s="27" t="s">
        <v>72</v>
      </c>
      <c r="M21" s="27">
        <f>IF(L21="","",VLOOKUP(L21,[1]TABLAS!$C$30:$D$33,2,0))</f>
        <v>2</v>
      </c>
      <c r="N21" s="27" t="s">
        <v>76</v>
      </c>
      <c r="O21" s="27">
        <f>+IF(N21="","",VLOOKUP(N21,[1]TABLAS!$E$30:$F$33,2,0))</f>
        <v>3</v>
      </c>
      <c r="P21" s="27" t="s">
        <v>81</v>
      </c>
      <c r="Q21" s="27">
        <f>+IF(P21="","",VLOOKUP(P21,[1]TABLAS!$G$30:$H$33,2,0))</f>
        <v>3</v>
      </c>
      <c r="R21" s="27" t="s">
        <v>87</v>
      </c>
      <c r="S21" s="27">
        <f>+IF(R21="","",VLOOKUP(R21,[1]TABLAS!$I$30:$J$33,2,0))</f>
        <v>3</v>
      </c>
      <c r="T21" s="27">
        <f t="shared" si="0"/>
        <v>2.65</v>
      </c>
      <c r="U21" s="24">
        <f>+IF(F21=1,1,IF(T21&gt;=[1]TABLAS!$A$39,F21-[1]TABLAS!$C$39,F21))</f>
        <v>1</v>
      </c>
      <c r="V21" s="24" t="s">
        <v>52</v>
      </c>
      <c r="W21" s="24" t="str">
        <f>INDEX([1]TABLAS!$B$14:$F$18,MATCH(U21,[1]TABLAS!$A$14:$A$18,0),MATCH(V21,[1]TABLAS!$B$13:$F$13,0))</f>
        <v>M</v>
      </c>
      <c r="X21" s="92" t="str">
        <f>+VLOOKUP(W21,[1]TABLAS!$A$22:$B$25,2,0)</f>
        <v>Asumir, mitigar el riesgo</v>
      </c>
      <c r="Y21" s="92"/>
      <c r="Z21" s="92" t="s">
        <v>638</v>
      </c>
      <c r="AA21" s="92" t="s">
        <v>639</v>
      </c>
      <c r="AB21" s="140"/>
      <c r="AC21" s="32"/>
      <c r="AD21" s="167"/>
      <c r="AE21" s="32"/>
      <c r="AF21" s="24" t="s">
        <v>36</v>
      </c>
      <c r="AG21" s="92" t="s">
        <v>662</v>
      </c>
    </row>
    <row r="22" spans="1:33" x14ac:dyDescent="0.3">
      <c r="A22" s="51"/>
    </row>
    <row r="23" spans="1:33" ht="23.4" x14ac:dyDescent="0.3">
      <c r="A23" s="201" t="s">
        <v>587</v>
      </c>
      <c r="B23" s="201"/>
      <c r="C23" s="201"/>
      <c r="D23" s="201"/>
      <c r="E23" s="206" t="s">
        <v>589</v>
      </c>
      <c r="F23" s="206"/>
      <c r="G23" s="206"/>
      <c r="H23" s="206"/>
      <c r="I23" s="206"/>
    </row>
    <row r="24" spans="1:33" ht="6.75" customHeight="1" x14ac:dyDescent="0.3"/>
    <row r="25" spans="1:33" ht="23.4" x14ac:dyDescent="0.3">
      <c r="A25" s="201" t="s">
        <v>588</v>
      </c>
      <c r="B25" s="201"/>
      <c r="C25" s="201"/>
      <c r="D25" s="201"/>
      <c r="E25" s="206" t="s">
        <v>597</v>
      </c>
      <c r="F25" s="206"/>
      <c r="G25" s="206"/>
      <c r="H25" s="206"/>
      <c r="I25" s="206"/>
    </row>
  </sheetData>
  <mergeCells count="23">
    <mergeCell ref="A25:D25"/>
    <mergeCell ref="E25:I25"/>
    <mergeCell ref="A15:A16"/>
    <mergeCell ref="B15:B16"/>
    <mergeCell ref="A17:A18"/>
    <mergeCell ref="B17:B18"/>
    <mergeCell ref="A23:D23"/>
    <mergeCell ref="E23:I23"/>
    <mergeCell ref="U12:V13"/>
    <mergeCell ref="W12:W13"/>
    <mergeCell ref="X12:AA12"/>
    <mergeCell ref="AB12:AG13"/>
    <mergeCell ref="F13:G13"/>
    <mergeCell ref="X13:X14"/>
    <mergeCell ref="Y13:Y14"/>
    <mergeCell ref="Z13:Z14"/>
    <mergeCell ref="AA13:AA14"/>
    <mergeCell ref="I12:T13"/>
    <mergeCell ref="A10:D10"/>
    <mergeCell ref="E10:G10"/>
    <mergeCell ref="A12:A14"/>
    <mergeCell ref="B12:E13"/>
    <mergeCell ref="F12:H12"/>
  </mergeCells>
  <conditionalFormatting sqref="H15:H21 W18:W21">
    <cfRule type="expression" dxfId="7" priority="5" stopIfTrue="1">
      <formula>H15="E"</formula>
    </cfRule>
    <cfRule type="expression" dxfId="6" priority="6" stopIfTrue="1">
      <formula>H15="M"</formula>
    </cfRule>
    <cfRule type="expression" dxfId="5" priority="7" stopIfTrue="1">
      <formula>H15="B"</formula>
    </cfRule>
    <cfRule type="expression" dxfId="4" priority="8" stopIfTrue="1">
      <formula>H15="A"</formula>
    </cfRule>
  </conditionalFormatting>
  <conditionalFormatting sqref="W15:W17">
    <cfRule type="expression" dxfId="3" priority="1" stopIfTrue="1">
      <formula>W15="E"</formula>
    </cfRule>
    <cfRule type="expression" dxfId="2" priority="2" stopIfTrue="1">
      <formula>W15="M"</formula>
    </cfRule>
    <cfRule type="expression" dxfId="1" priority="3" stopIfTrue="1">
      <formula>W15="B"</formula>
    </cfRule>
    <cfRule type="expression" dxfId="0" priority="4" stopIfTrue="1">
      <formula>W15="A"</formula>
    </cfRule>
  </conditionalFormatting>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B00-000000000000}">
          <x14:formula1>
            <xm:f>'https://d.docs.live.net/a465b4c74a16a1bd/INFIDER/4. SARO/SARO INFIDER/matricesderiesgosporprocesos/[MATRICES DE RIESGO INFIDER 2020 V3.xlsx]TABLAS'!#REF!</xm:f>
          </x14:formula1>
          <xm:sqref>R15:R21</xm:sqref>
        </x14:dataValidation>
        <x14:dataValidation type="list" allowBlank="1" showInputMessage="1" showErrorMessage="1" xr:uid="{00000000-0002-0000-1B00-000001000000}">
          <x14:formula1>
            <xm:f>'https://d.docs.live.net/a465b4c74a16a1bd/INFIDER/4. SARO/SARO INFIDER/matricesderiesgosporprocesos/[MATRICES DE RIESGO INFIDER 2020 V3.xlsx]TABLAS'!#REF!</xm:f>
          </x14:formula1>
          <xm:sqref>P15:P21 D15:G21 V15:V21 J15:J21 L15:L21 N15:N21</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A10:S33"/>
  <sheetViews>
    <sheetView topLeftCell="A4" zoomScale="90" zoomScaleNormal="90" workbookViewId="0">
      <selection activeCell="E39" sqref="E39"/>
    </sheetView>
  </sheetViews>
  <sheetFormatPr baseColWidth="10" defaultColWidth="11.44140625" defaultRowHeight="15.6" x14ac:dyDescent="0.3"/>
  <cols>
    <col min="1" max="1" width="15.88671875" style="160" customWidth="1"/>
    <col min="2" max="2" width="25.109375" style="160" customWidth="1"/>
    <col min="3" max="3" width="21.88671875" style="160" customWidth="1"/>
    <col min="4" max="4" width="25.44140625" style="160" customWidth="1"/>
    <col min="5" max="5" width="27" style="160" customWidth="1"/>
    <col min="6" max="6" width="21.33203125" style="160" customWidth="1"/>
    <col min="7" max="7" width="20.33203125" style="160" customWidth="1"/>
    <col min="8" max="8" width="18.44140625" style="160" customWidth="1"/>
    <col min="9" max="9" width="28.109375" style="160" customWidth="1"/>
    <col min="10" max="10" width="24.88671875" style="160" customWidth="1"/>
    <col min="11" max="11" width="19.109375" style="160" hidden="1" customWidth="1"/>
    <col min="12" max="12" width="16.44140625" style="160" customWidth="1"/>
    <col min="13" max="13" width="19.109375" style="160" hidden="1" customWidth="1"/>
    <col min="14" max="14" width="15.88671875" style="160" bestFit="1" customWidth="1"/>
    <col min="15" max="15" width="19.109375" style="160" hidden="1" customWidth="1"/>
    <col min="16" max="16" width="14" style="160" customWidth="1"/>
    <col min="17" max="17" width="19.109375" style="160" hidden="1" customWidth="1"/>
    <col min="18" max="18" width="14.5546875" style="160" bestFit="1" customWidth="1"/>
    <col min="19" max="19" width="19.109375" style="160" hidden="1" customWidth="1"/>
    <col min="20" max="20" width="14.88671875" style="160" customWidth="1"/>
    <col min="21" max="21" width="19.5546875" style="160" customWidth="1"/>
    <col min="22" max="22" width="18.6640625" style="160" customWidth="1"/>
    <col min="23" max="23" width="19" style="160" customWidth="1"/>
    <col min="24" max="24" width="19.88671875" style="160" customWidth="1"/>
    <col min="25" max="25" width="17.33203125" style="160" customWidth="1"/>
    <col min="26" max="26" width="16.88671875" style="160" customWidth="1"/>
    <col min="27" max="27" width="22.88671875" style="160" customWidth="1"/>
    <col min="28" max="28" width="11.44140625" style="160" customWidth="1"/>
    <col min="29" max="29" width="18.44140625" style="160" customWidth="1"/>
    <col min="30" max="30" width="11.44140625" style="160" customWidth="1"/>
    <col min="31" max="31" width="17.33203125" style="160" customWidth="1"/>
    <col min="32" max="32" width="11.44140625" style="160" customWidth="1"/>
    <col min="33" max="33" width="18.88671875" style="160" customWidth="1"/>
    <col min="34" max="16384" width="11.44140625" style="160"/>
  </cols>
  <sheetData>
    <row r="10" spans="1:9" ht="23.4" x14ac:dyDescent="0.3">
      <c r="A10" s="201" t="s">
        <v>343</v>
      </c>
      <c r="B10" s="201"/>
      <c r="C10" s="201"/>
      <c r="D10" s="201"/>
      <c r="E10" s="202" t="s">
        <v>355</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43.2" x14ac:dyDescent="0.3">
      <c r="A13" s="155" t="s">
        <v>567</v>
      </c>
      <c r="B13" s="148" t="s">
        <v>550</v>
      </c>
      <c r="C13" s="149" t="s">
        <v>551</v>
      </c>
      <c r="D13" s="149" t="s">
        <v>553</v>
      </c>
      <c r="E13" s="150">
        <v>43709</v>
      </c>
      <c r="F13" s="139">
        <v>43800</v>
      </c>
      <c r="G13" s="126" t="s">
        <v>600</v>
      </c>
      <c r="H13" s="126"/>
      <c r="I13" s="126"/>
    </row>
    <row r="14" spans="1:9" s="89" customFormat="1" ht="14.4" x14ac:dyDescent="0.3">
      <c r="A14" s="169"/>
      <c r="B14" s="169"/>
      <c r="C14" s="170"/>
      <c r="D14" s="170"/>
      <c r="E14" s="171"/>
      <c r="F14" s="172"/>
      <c r="G14" s="173"/>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26"/>
      <c r="D20" s="126"/>
      <c r="E20" s="139"/>
      <c r="F20" s="139"/>
      <c r="G20" s="126"/>
      <c r="H20" s="126"/>
      <c r="I20" s="126"/>
    </row>
    <row r="21" spans="1:9" s="89" customFormat="1" ht="14.4" x14ac:dyDescent="0.3">
      <c r="A21" s="126"/>
      <c r="B21" s="126"/>
      <c r="C21" s="166"/>
      <c r="D21" s="126"/>
      <c r="E21" s="139"/>
      <c r="F21" s="139"/>
      <c r="G21" s="126"/>
      <c r="H21" s="126"/>
      <c r="I21" s="126"/>
    </row>
    <row r="22" spans="1:9" s="89" customFormat="1" ht="14.4" x14ac:dyDescent="0.3">
      <c r="A22" s="126"/>
      <c r="B22" s="126"/>
      <c r="C22" s="126"/>
      <c r="D22" s="126"/>
      <c r="E22" s="139"/>
      <c r="F22" s="139"/>
      <c r="G22" s="126"/>
      <c r="H22" s="126"/>
      <c r="I22" s="126"/>
    </row>
    <row r="23" spans="1:9" s="89" customFormat="1" ht="14.4" x14ac:dyDescent="0.3">
      <c r="A23" s="126"/>
      <c r="B23" s="126"/>
      <c r="C23" s="126"/>
      <c r="D23" s="126"/>
      <c r="E23" s="139"/>
      <c r="F23" s="126"/>
      <c r="G23" s="126"/>
      <c r="H23" s="126"/>
      <c r="I23" s="126"/>
    </row>
    <row r="24" spans="1:9" s="89" customFormat="1" ht="14.4" x14ac:dyDescent="0.3">
      <c r="A24" s="126"/>
      <c r="B24" s="126"/>
      <c r="C24" s="126"/>
      <c r="D24" s="126"/>
      <c r="E24" s="139"/>
      <c r="F24" s="126"/>
      <c r="G24" s="126"/>
      <c r="H24" s="126"/>
      <c r="I24" s="126"/>
    </row>
    <row r="25" spans="1:9" s="89" customFormat="1" ht="14.4" x14ac:dyDescent="0.3">
      <c r="A25" s="126"/>
      <c r="B25" s="126"/>
      <c r="C25" s="126"/>
      <c r="D25" s="126"/>
      <c r="E25" s="126"/>
      <c r="F25" s="126"/>
      <c r="G25" s="126"/>
      <c r="H25" s="126"/>
      <c r="I25" s="126"/>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29" spans="1:9" s="89" customFormat="1" ht="14.4" x14ac:dyDescent="0.3">
      <c r="A29" s="90"/>
      <c r="B29" s="90"/>
      <c r="C29" s="90"/>
      <c r="D29" s="90"/>
      <c r="E29" s="90"/>
      <c r="F29" s="90"/>
      <c r="G29" s="90"/>
      <c r="H29" s="90"/>
      <c r="I29" s="90"/>
    </row>
    <row r="31" spans="1:9" ht="23.4" x14ac:dyDescent="0.3">
      <c r="A31" s="201" t="s">
        <v>590</v>
      </c>
      <c r="B31" s="201"/>
      <c r="C31" s="201"/>
      <c r="D31" s="201"/>
      <c r="E31" s="206" t="s">
        <v>589</v>
      </c>
      <c r="F31" s="206"/>
      <c r="G31" s="206"/>
      <c r="H31" s="206"/>
      <c r="I31" s="206"/>
    </row>
    <row r="32" spans="1:9" ht="6.75" customHeight="1" x14ac:dyDescent="0.3"/>
    <row r="33" spans="1:9" ht="23.4" x14ac:dyDescent="0.3">
      <c r="A33" s="201" t="s">
        <v>591</v>
      </c>
      <c r="B33" s="201"/>
      <c r="C33" s="201"/>
      <c r="D33" s="201"/>
      <c r="E33" s="206" t="s">
        <v>597</v>
      </c>
      <c r="F33" s="206"/>
      <c r="G33" s="206"/>
      <c r="H33" s="206"/>
      <c r="I33" s="206"/>
    </row>
  </sheetData>
  <sheetProtection algorithmName="SHA-512" hashValue="h00aA49O+GWWYIiuAfq+ktmcs7va0o/PSJbcJIkqWLKrWXRML8HESCOu0PKwRPCGTujX+yAWY1EqqzoaI/RoJQ==" saltValue="rpjRLn8tZsT8uhCij6FpAQ==" spinCount="100000" sheet="1" objects="1" scenarios="1"/>
  <mergeCells count="6">
    <mergeCell ref="A10:D10"/>
    <mergeCell ref="E10:G10"/>
    <mergeCell ref="A31:D31"/>
    <mergeCell ref="E31:I31"/>
    <mergeCell ref="A33:D33"/>
    <mergeCell ref="E33:I33"/>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0:S28"/>
  <sheetViews>
    <sheetView view="pageBreakPreview" topLeftCell="A16" zoomScale="60" zoomScaleNormal="110" workbookViewId="0">
      <selection activeCell="I13" sqref="I13"/>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345</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57.6" x14ac:dyDescent="0.3">
      <c r="A13" s="153" t="s">
        <v>462</v>
      </c>
      <c r="B13" s="126" t="s">
        <v>463</v>
      </c>
      <c r="C13" s="146" t="s">
        <v>464</v>
      </c>
      <c r="D13" s="92" t="s">
        <v>342</v>
      </c>
      <c r="E13" s="139">
        <v>43584</v>
      </c>
      <c r="F13" s="139">
        <v>43617</v>
      </c>
      <c r="G13" s="126" t="s">
        <v>604</v>
      </c>
      <c r="H13" s="139">
        <v>44166</v>
      </c>
      <c r="I13" s="126" t="s">
        <v>642</v>
      </c>
    </row>
    <row r="14" spans="1:9" s="89" customFormat="1" ht="14.4" x14ac:dyDescent="0.3">
      <c r="A14" s="126"/>
      <c r="B14" s="126"/>
      <c r="C14" s="146"/>
      <c r="D14" s="14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90"/>
      <c r="B20" s="90"/>
      <c r="C20" s="90"/>
      <c r="D20" s="90"/>
      <c r="E20" s="90"/>
      <c r="F20" s="90"/>
      <c r="G20" s="90"/>
      <c r="H20" s="90"/>
      <c r="I20" s="90"/>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6" spans="1:9" ht="23.4" x14ac:dyDescent="0.3">
      <c r="A26" s="201" t="s">
        <v>590</v>
      </c>
      <c r="B26" s="201"/>
      <c r="C26" s="201"/>
      <c r="D26" s="201"/>
      <c r="E26" s="206" t="s">
        <v>337</v>
      </c>
      <c r="F26" s="206"/>
      <c r="G26" s="206"/>
      <c r="H26" s="206"/>
      <c r="I26" s="206"/>
    </row>
    <row r="27" spans="1:9" ht="6.75" customHeight="1" x14ac:dyDescent="0.3"/>
    <row r="28" spans="1:9" ht="23.4" x14ac:dyDescent="0.3">
      <c r="A28" s="201" t="s">
        <v>591</v>
      </c>
      <c r="B28" s="201"/>
      <c r="C28" s="201"/>
      <c r="D28" s="201"/>
      <c r="E28" s="206" t="s">
        <v>589</v>
      </c>
      <c r="F28" s="206"/>
      <c r="G28" s="206"/>
      <c r="H28" s="206"/>
      <c r="I28" s="206"/>
    </row>
  </sheetData>
  <sheetProtection algorithmName="SHA-512" hashValue="YVH/7P1dTtixz2IT28DS0cF6bhO/8+qOx38YvD+7kpNDaTaHyZD7lqM43tODLAXeYdTnUuQGEPTjdY+HbFM1cw==" saltValue="Rodb1AmreBy0Bqa3U2ej8A==" spinCount="100000" sheet="1" objects="1" scenarios="1"/>
  <mergeCells count="6">
    <mergeCell ref="A10:D10"/>
    <mergeCell ref="E10:G10"/>
    <mergeCell ref="A26:D26"/>
    <mergeCell ref="E26:I26"/>
    <mergeCell ref="A28:D28"/>
    <mergeCell ref="E28:I28"/>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84"/>
  <sheetViews>
    <sheetView showGridLines="0" topLeftCell="E1" zoomScale="120" zoomScaleNormal="120" workbookViewId="0">
      <selection activeCell="P5" sqref="P5"/>
    </sheetView>
  </sheetViews>
  <sheetFormatPr baseColWidth="10" defaultColWidth="10.6640625" defaultRowHeight="14.4" x14ac:dyDescent="0.3"/>
  <cols>
    <col min="1" max="2" width="33.33203125" customWidth="1"/>
    <col min="3" max="3" width="28.6640625" customWidth="1"/>
    <col min="4" max="4" width="15.109375" customWidth="1"/>
    <col min="5" max="5" width="31.88671875" bestFit="1" customWidth="1"/>
    <col min="6" max="6" width="17.33203125" customWidth="1"/>
    <col min="7" max="7" width="10.33203125" customWidth="1"/>
    <col min="8" max="8" width="13.5546875" customWidth="1"/>
    <col min="9" max="9" width="13.109375" customWidth="1"/>
    <col min="10" max="10" width="16.5546875" bestFit="1" customWidth="1"/>
    <col min="11" max="11" width="19.44140625" customWidth="1"/>
    <col min="12" max="12" width="14.109375" customWidth="1"/>
    <col min="13" max="13" width="21.88671875" customWidth="1"/>
    <col min="14" max="14" width="17.6640625" customWidth="1"/>
    <col min="15" max="15" width="22.88671875" customWidth="1"/>
    <col min="16" max="16" width="23" bestFit="1" customWidth="1"/>
  </cols>
  <sheetData>
    <row r="1" spans="1:16" ht="23.25" customHeight="1" thickBot="1" x14ac:dyDescent="0.35">
      <c r="A1" s="4" t="s">
        <v>37</v>
      </c>
      <c r="B1" s="5" t="s">
        <v>38</v>
      </c>
      <c r="C1" s="5" t="s">
        <v>39</v>
      </c>
    </row>
    <row r="2" spans="1:16" ht="23.25" customHeight="1" thickBot="1" x14ac:dyDescent="0.35">
      <c r="A2" s="6">
        <v>1</v>
      </c>
      <c r="B2" s="7" t="s">
        <v>40</v>
      </c>
      <c r="C2" s="8" t="s">
        <v>41</v>
      </c>
      <c r="H2" s="233" t="s">
        <v>7</v>
      </c>
      <c r="I2" s="233" t="s">
        <v>510</v>
      </c>
      <c r="J2" s="233"/>
      <c r="K2" s="233" t="s">
        <v>511</v>
      </c>
      <c r="L2" s="233" t="s">
        <v>512</v>
      </c>
      <c r="M2" s="233" t="s">
        <v>513</v>
      </c>
      <c r="N2" s="233" t="s">
        <v>514</v>
      </c>
      <c r="O2" s="233" t="s">
        <v>515</v>
      </c>
      <c r="P2" s="142"/>
    </row>
    <row r="3" spans="1:16" ht="23.25" customHeight="1" thickBot="1" x14ac:dyDescent="0.35">
      <c r="A3" s="6">
        <v>2</v>
      </c>
      <c r="B3" s="7" t="s">
        <v>42</v>
      </c>
      <c r="C3" s="8" t="s">
        <v>43</v>
      </c>
      <c r="H3" s="233"/>
      <c r="I3" s="141" t="s">
        <v>516</v>
      </c>
      <c r="J3" s="141" t="s">
        <v>517</v>
      </c>
      <c r="K3" s="233"/>
      <c r="L3" s="233"/>
      <c r="M3" s="233"/>
      <c r="N3" s="233"/>
      <c r="O3" s="233"/>
      <c r="P3" s="89"/>
    </row>
    <row r="4" spans="1:16" ht="23.25" customHeight="1" thickBot="1" x14ac:dyDescent="0.4">
      <c r="A4" s="6">
        <v>3</v>
      </c>
      <c r="B4" s="7" t="s">
        <v>44</v>
      </c>
      <c r="C4" s="8" t="s">
        <v>45</v>
      </c>
      <c r="H4" s="232" t="s">
        <v>369</v>
      </c>
      <c r="I4" s="234">
        <v>2.0000000000000002E-5</v>
      </c>
      <c r="J4" s="235">
        <f>+$P$5*I4</f>
        <v>418595.25698000001</v>
      </c>
      <c r="K4" s="236" t="s">
        <v>518</v>
      </c>
      <c r="L4" s="236" t="s">
        <v>519</v>
      </c>
      <c r="M4" s="236" t="s">
        <v>520</v>
      </c>
      <c r="N4" s="236" t="s">
        <v>521</v>
      </c>
      <c r="O4" s="236" t="s">
        <v>522</v>
      </c>
      <c r="P4" s="143" t="s">
        <v>545</v>
      </c>
    </row>
    <row r="5" spans="1:16" ht="23.25" customHeight="1" thickBot="1" x14ac:dyDescent="0.4">
      <c r="A5" s="6">
        <v>4</v>
      </c>
      <c r="B5" s="7" t="s">
        <v>46</v>
      </c>
      <c r="C5" s="8" t="s">
        <v>47</v>
      </c>
      <c r="H5" s="232"/>
      <c r="I5" s="234"/>
      <c r="J5" s="235"/>
      <c r="K5" s="236"/>
      <c r="L5" s="236"/>
      <c r="M5" s="236"/>
      <c r="N5" s="236"/>
      <c r="O5" s="236"/>
      <c r="P5" s="144">
        <v>20929762849</v>
      </c>
    </row>
    <row r="6" spans="1:16" ht="23.25" customHeight="1" thickBot="1" x14ac:dyDescent="0.35">
      <c r="A6" s="6">
        <v>5</v>
      </c>
      <c r="B6" s="7" t="s">
        <v>48</v>
      </c>
      <c r="C6" s="8" t="s">
        <v>49</v>
      </c>
      <c r="H6" s="232" t="s">
        <v>523</v>
      </c>
      <c r="I6" s="234">
        <v>1E-4</v>
      </c>
      <c r="J6" s="235">
        <f>+$P$5*I6</f>
        <v>2092976.2849000001</v>
      </c>
      <c r="K6" s="236" t="s">
        <v>524</v>
      </c>
      <c r="L6" s="236" t="s">
        <v>525</v>
      </c>
      <c r="M6" s="236" t="s">
        <v>526</v>
      </c>
      <c r="N6" s="236" t="s">
        <v>527</v>
      </c>
      <c r="O6" s="236" t="s">
        <v>528</v>
      </c>
      <c r="P6" s="142"/>
    </row>
    <row r="7" spans="1:16" x14ac:dyDescent="0.3">
      <c r="H7" s="232"/>
      <c r="I7" s="234"/>
      <c r="J7" s="235"/>
      <c r="K7" s="236"/>
      <c r="L7" s="236"/>
      <c r="M7" s="236"/>
      <c r="N7" s="236"/>
      <c r="O7" s="236"/>
      <c r="P7" s="142"/>
    </row>
    <row r="8" spans="1:16" ht="15" customHeight="1" x14ac:dyDescent="0.3">
      <c r="H8" s="232" t="s">
        <v>364</v>
      </c>
      <c r="I8" s="234">
        <v>2.9999999999999997E-4</v>
      </c>
      <c r="J8" s="235">
        <f>+$P$5*I8</f>
        <v>6278928.8546999991</v>
      </c>
      <c r="K8" s="236" t="s">
        <v>529</v>
      </c>
      <c r="L8" s="236" t="s">
        <v>530</v>
      </c>
      <c r="M8" s="236" t="s">
        <v>531</v>
      </c>
      <c r="N8" s="236" t="s">
        <v>532</v>
      </c>
      <c r="O8" s="236" t="s">
        <v>533</v>
      </c>
      <c r="P8" s="142"/>
    </row>
    <row r="9" spans="1:16" x14ac:dyDescent="0.3">
      <c r="H9" s="232"/>
      <c r="I9" s="234"/>
      <c r="J9" s="235"/>
      <c r="K9" s="236"/>
      <c r="L9" s="236"/>
      <c r="M9" s="236"/>
      <c r="N9" s="236"/>
      <c r="O9" s="236"/>
      <c r="P9" s="142"/>
    </row>
    <row r="10" spans="1:16" ht="15" customHeight="1" x14ac:dyDescent="0.3">
      <c r="H10" s="232" t="s">
        <v>534</v>
      </c>
      <c r="I10" s="234">
        <v>1.4999999999999999E-2</v>
      </c>
      <c r="J10" s="235">
        <f>+$P$5*I10</f>
        <v>313946442.73500001</v>
      </c>
      <c r="K10" s="236" t="s">
        <v>535</v>
      </c>
      <c r="L10" s="236" t="s">
        <v>536</v>
      </c>
      <c r="M10" s="236" t="s">
        <v>537</v>
      </c>
      <c r="N10" s="236" t="s">
        <v>538</v>
      </c>
      <c r="O10" s="236" t="s">
        <v>539</v>
      </c>
      <c r="P10" s="142"/>
    </row>
    <row r="11" spans="1:16" ht="15" thickBot="1" x14ac:dyDescent="0.35">
      <c r="H11" s="232"/>
      <c r="I11" s="234"/>
      <c r="J11" s="235"/>
      <c r="K11" s="236"/>
      <c r="L11" s="236"/>
      <c r="M11" s="236"/>
      <c r="N11" s="236"/>
      <c r="O11" s="236"/>
      <c r="P11" s="142"/>
    </row>
    <row r="12" spans="1:16" ht="16.5" customHeight="1" thickBot="1" x14ac:dyDescent="0.35">
      <c r="A12" s="237" t="s">
        <v>6</v>
      </c>
      <c r="B12" s="239" t="s">
        <v>7</v>
      </c>
      <c r="C12" s="240"/>
      <c r="D12" s="240"/>
      <c r="E12" s="240"/>
      <c r="F12" s="241"/>
      <c r="H12" s="232" t="s">
        <v>366</v>
      </c>
      <c r="I12" s="234">
        <v>0.03</v>
      </c>
      <c r="J12" s="235">
        <f>+$P$5*I12</f>
        <v>627892885.47000003</v>
      </c>
      <c r="K12" s="236" t="s">
        <v>540</v>
      </c>
      <c r="L12" s="236" t="s">
        <v>541</v>
      </c>
      <c r="M12" s="236" t="s">
        <v>542</v>
      </c>
      <c r="N12" s="236" t="s">
        <v>543</v>
      </c>
      <c r="O12" s="236" t="s">
        <v>544</v>
      </c>
      <c r="P12" s="142"/>
    </row>
    <row r="13" spans="1:16" ht="16.2" thickBot="1" x14ac:dyDescent="0.35">
      <c r="A13" s="238"/>
      <c r="B13" s="9" t="s">
        <v>50</v>
      </c>
      <c r="C13" s="9" t="s">
        <v>51</v>
      </c>
      <c r="D13" s="9" t="s">
        <v>52</v>
      </c>
      <c r="E13" s="9" t="s">
        <v>53</v>
      </c>
      <c r="F13" s="9" t="s">
        <v>54</v>
      </c>
      <c r="H13" s="232"/>
      <c r="I13" s="234"/>
      <c r="J13" s="235"/>
      <c r="K13" s="236"/>
      <c r="L13" s="236"/>
      <c r="M13" s="236"/>
      <c r="N13" s="236"/>
      <c r="O13" s="236"/>
      <c r="P13" s="142"/>
    </row>
    <row r="14" spans="1:16" ht="16.2" thickBot="1" x14ac:dyDescent="0.35">
      <c r="A14" s="17">
        <v>1</v>
      </c>
      <c r="B14" s="10" t="s">
        <v>55</v>
      </c>
      <c r="C14" s="10" t="s">
        <v>55</v>
      </c>
      <c r="D14" s="11" t="s">
        <v>56</v>
      </c>
      <c r="E14" s="12" t="s">
        <v>57</v>
      </c>
      <c r="F14" s="12" t="s">
        <v>57</v>
      </c>
    </row>
    <row r="15" spans="1:16" ht="16.2" thickBot="1" x14ac:dyDescent="0.35">
      <c r="A15" s="18">
        <v>2</v>
      </c>
      <c r="B15" s="10" t="s">
        <v>55</v>
      </c>
      <c r="C15" s="10" t="s">
        <v>55</v>
      </c>
      <c r="D15" s="11" t="s">
        <v>56</v>
      </c>
      <c r="E15" s="12" t="s">
        <v>57</v>
      </c>
      <c r="F15" s="13" t="s">
        <v>58</v>
      </c>
    </row>
    <row r="16" spans="1:16" ht="16.2" thickBot="1" x14ac:dyDescent="0.35">
      <c r="A16" s="17">
        <v>3</v>
      </c>
      <c r="B16" s="10" t="s">
        <v>55</v>
      </c>
      <c r="C16" s="11" t="s">
        <v>56</v>
      </c>
      <c r="D16" s="12" t="s">
        <v>57</v>
      </c>
      <c r="E16" s="13" t="s">
        <v>58</v>
      </c>
      <c r="F16" s="13" t="s">
        <v>58</v>
      </c>
    </row>
    <row r="17" spans="1:10" ht="16.2" thickBot="1" x14ac:dyDescent="0.35">
      <c r="A17" s="18">
        <v>4</v>
      </c>
      <c r="B17" s="11" t="s">
        <v>56</v>
      </c>
      <c r="C17" s="12" t="s">
        <v>57</v>
      </c>
      <c r="D17" s="12" t="s">
        <v>57</v>
      </c>
      <c r="E17" s="13" t="s">
        <v>58</v>
      </c>
      <c r="F17" s="13" t="s">
        <v>58</v>
      </c>
    </row>
    <row r="18" spans="1:10" ht="16.2" thickBot="1" x14ac:dyDescent="0.35">
      <c r="A18" s="17">
        <v>5</v>
      </c>
      <c r="B18" s="14" t="s">
        <v>57</v>
      </c>
      <c r="C18" s="12" t="s">
        <v>57</v>
      </c>
      <c r="D18" s="13" t="s">
        <v>58</v>
      </c>
      <c r="E18" s="13" t="s">
        <v>58</v>
      </c>
      <c r="F18" s="13" t="s">
        <v>58</v>
      </c>
    </row>
    <row r="20" spans="1:10" ht="15" thickBot="1" x14ac:dyDescent="0.35"/>
    <row r="21" spans="1:10" ht="16.2" thickBot="1" x14ac:dyDescent="0.35">
      <c r="A21" s="15" t="s">
        <v>59</v>
      </c>
      <c r="B21" s="16" t="s">
        <v>60</v>
      </c>
    </row>
    <row r="22" spans="1:10" ht="16.2" thickBot="1" x14ac:dyDescent="0.35">
      <c r="A22" s="131" t="s">
        <v>55</v>
      </c>
      <c r="B22" s="132" t="s">
        <v>61</v>
      </c>
    </row>
    <row r="23" spans="1:10" ht="16.2" thickBot="1" x14ac:dyDescent="0.35">
      <c r="A23" s="133" t="s">
        <v>56</v>
      </c>
      <c r="B23" s="132" t="s">
        <v>62</v>
      </c>
    </row>
    <row r="24" spans="1:10" ht="47.4" thickBot="1" x14ac:dyDescent="0.35">
      <c r="A24" s="134" t="s">
        <v>57</v>
      </c>
      <c r="B24" s="132" t="s">
        <v>63</v>
      </c>
    </row>
    <row r="25" spans="1:10" ht="47.4" thickBot="1" x14ac:dyDescent="0.35">
      <c r="A25" s="135" t="s">
        <v>58</v>
      </c>
      <c r="B25" s="132" t="s">
        <v>64</v>
      </c>
    </row>
    <row r="29" spans="1:10" x14ac:dyDescent="0.3">
      <c r="A29" s="3" t="s">
        <v>67</v>
      </c>
      <c r="B29" s="3" t="s">
        <v>70</v>
      </c>
      <c r="C29" s="3" t="s">
        <v>71</v>
      </c>
      <c r="D29" s="3" t="s">
        <v>70</v>
      </c>
      <c r="E29" s="3" t="s">
        <v>75</v>
      </c>
      <c r="F29" s="3" t="s">
        <v>70</v>
      </c>
      <c r="G29" s="3" t="s">
        <v>80</v>
      </c>
      <c r="H29" s="3" t="s">
        <v>70</v>
      </c>
      <c r="I29" s="3" t="s">
        <v>85</v>
      </c>
      <c r="J29" s="3" t="s">
        <v>70</v>
      </c>
    </row>
    <row r="30" spans="1:10" x14ac:dyDescent="0.3">
      <c r="A30" s="1" t="s">
        <v>68</v>
      </c>
      <c r="B30" s="1">
        <v>3</v>
      </c>
      <c r="C30" s="1" t="s">
        <v>65</v>
      </c>
      <c r="D30" s="1">
        <v>3</v>
      </c>
      <c r="E30" s="1" t="s">
        <v>76</v>
      </c>
      <c r="F30" s="1">
        <v>3</v>
      </c>
      <c r="G30" s="1" t="s">
        <v>81</v>
      </c>
      <c r="H30" s="1">
        <v>3</v>
      </c>
      <c r="I30" s="1" t="s">
        <v>86</v>
      </c>
      <c r="J30" s="1">
        <v>3</v>
      </c>
    </row>
    <row r="31" spans="1:10" x14ac:dyDescent="0.3">
      <c r="A31" s="1" t="s">
        <v>106</v>
      </c>
      <c r="B31" s="1">
        <v>2</v>
      </c>
      <c r="C31" s="1" t="s">
        <v>72</v>
      </c>
      <c r="D31" s="1">
        <v>2</v>
      </c>
      <c r="E31" s="1" t="s">
        <v>77</v>
      </c>
      <c r="F31" s="1">
        <v>2</v>
      </c>
      <c r="G31" s="1" t="s">
        <v>82</v>
      </c>
      <c r="H31" s="1">
        <v>2</v>
      </c>
      <c r="I31" s="1" t="s">
        <v>87</v>
      </c>
      <c r="J31" s="1">
        <v>3</v>
      </c>
    </row>
    <row r="32" spans="1:10" x14ac:dyDescent="0.3">
      <c r="A32" s="1" t="s">
        <v>69</v>
      </c>
      <c r="B32" s="1">
        <v>1</v>
      </c>
      <c r="C32" s="1" t="s">
        <v>73</v>
      </c>
      <c r="D32" s="1">
        <v>2</v>
      </c>
      <c r="E32" s="1" t="s">
        <v>78</v>
      </c>
      <c r="F32" s="1">
        <v>1</v>
      </c>
      <c r="G32" s="1" t="s">
        <v>83</v>
      </c>
      <c r="H32" s="1">
        <v>1</v>
      </c>
      <c r="I32" s="1" t="s">
        <v>88</v>
      </c>
      <c r="J32" s="1">
        <v>2</v>
      </c>
    </row>
    <row r="33" spans="1:10" x14ac:dyDescent="0.3">
      <c r="A33" s="1"/>
      <c r="B33" s="1"/>
      <c r="C33" s="1" t="s">
        <v>74</v>
      </c>
      <c r="D33" s="1">
        <v>1</v>
      </c>
      <c r="E33" s="1" t="s">
        <v>79</v>
      </c>
      <c r="F33" s="1">
        <v>0</v>
      </c>
      <c r="G33" s="1" t="s">
        <v>84</v>
      </c>
      <c r="H33" s="1">
        <v>0</v>
      </c>
      <c r="I33" s="1" t="s">
        <v>89</v>
      </c>
      <c r="J33" s="1">
        <v>0</v>
      </c>
    </row>
    <row r="36" spans="1:10" ht="15" thickBot="1" x14ac:dyDescent="0.35"/>
    <row r="37" spans="1:10" x14ac:dyDescent="0.3">
      <c r="A37" s="242" t="s">
        <v>90</v>
      </c>
      <c r="B37" s="242" t="s">
        <v>95</v>
      </c>
      <c r="C37" s="242" t="s">
        <v>96</v>
      </c>
      <c r="D37" s="19"/>
    </row>
    <row r="38" spans="1:10" ht="15" thickBot="1" x14ac:dyDescent="0.35">
      <c r="A38" s="243"/>
      <c r="B38" s="243"/>
      <c r="C38" s="243"/>
      <c r="D38" s="19"/>
    </row>
    <row r="39" spans="1:10" ht="16.2" thickBot="1" x14ac:dyDescent="0.35">
      <c r="A39" s="20">
        <v>2.2000000000000002</v>
      </c>
      <c r="B39" s="21">
        <v>0.69</v>
      </c>
      <c r="C39" s="22">
        <v>1</v>
      </c>
      <c r="D39" s="19"/>
    </row>
    <row r="43" spans="1:10" x14ac:dyDescent="0.3">
      <c r="A43" t="s">
        <v>373</v>
      </c>
      <c r="B43" t="s">
        <v>372</v>
      </c>
    </row>
    <row r="44" spans="1:10" x14ac:dyDescent="0.3">
      <c r="A44" s="1" t="s">
        <v>202</v>
      </c>
      <c r="B44" s="1" t="s">
        <v>380</v>
      </c>
    </row>
    <row r="45" spans="1:10" x14ac:dyDescent="0.3">
      <c r="A45" s="1" t="s">
        <v>203</v>
      </c>
      <c r="B45" s="1" t="s">
        <v>381</v>
      </c>
    </row>
    <row r="46" spans="1:10" x14ac:dyDescent="0.3">
      <c r="A46" s="1" t="s">
        <v>204</v>
      </c>
      <c r="B46" s="1" t="s">
        <v>382</v>
      </c>
    </row>
    <row r="47" spans="1:10" x14ac:dyDescent="0.3">
      <c r="A47" s="1" t="s">
        <v>205</v>
      </c>
      <c r="B47" s="1" t="s">
        <v>383</v>
      </c>
    </row>
    <row r="48" spans="1:10" x14ac:dyDescent="0.3">
      <c r="A48" s="1" t="s">
        <v>375</v>
      </c>
      <c r="B48" s="1" t="s">
        <v>384</v>
      </c>
    </row>
    <row r="49" spans="1:2" x14ac:dyDescent="0.3">
      <c r="A49" s="81" t="s">
        <v>376</v>
      </c>
      <c r="B49" s="1" t="s">
        <v>385</v>
      </c>
    </row>
    <row r="50" spans="1:2" x14ac:dyDescent="0.3">
      <c r="A50" s="81" t="s">
        <v>377</v>
      </c>
      <c r="B50" s="81" t="s">
        <v>386</v>
      </c>
    </row>
    <row r="51" spans="1:2" x14ac:dyDescent="0.3">
      <c r="A51" s="81" t="s">
        <v>378</v>
      </c>
      <c r="B51" s="81" t="s">
        <v>207</v>
      </c>
    </row>
    <row r="52" spans="1:2" x14ac:dyDescent="0.3">
      <c r="A52" s="81" t="s">
        <v>379</v>
      </c>
    </row>
    <row r="54" spans="1:2" x14ac:dyDescent="0.3">
      <c r="A54" t="s">
        <v>421</v>
      </c>
    </row>
    <row r="55" spans="1:2" x14ac:dyDescent="0.3">
      <c r="A55" t="s">
        <v>422</v>
      </c>
    </row>
    <row r="56" spans="1:2" x14ac:dyDescent="0.3">
      <c r="A56" t="s">
        <v>423</v>
      </c>
    </row>
    <row r="57" spans="1:2" x14ac:dyDescent="0.3">
      <c r="A57" t="s">
        <v>424</v>
      </c>
    </row>
    <row r="59" spans="1:2" ht="21" x14ac:dyDescent="0.4">
      <c r="A59" s="118" t="s">
        <v>452</v>
      </c>
      <c r="B59" s="118" t="s">
        <v>453</v>
      </c>
    </row>
    <row r="60" spans="1:2" x14ac:dyDescent="0.3">
      <c r="A60" s="119" t="s">
        <v>402</v>
      </c>
      <c r="B60" s="102">
        <v>1</v>
      </c>
    </row>
    <row r="61" spans="1:2" x14ac:dyDescent="0.3">
      <c r="A61" s="119" t="s">
        <v>439</v>
      </c>
      <c r="B61" s="103">
        <v>2</v>
      </c>
    </row>
    <row r="62" spans="1:2" x14ac:dyDescent="0.3">
      <c r="A62" s="120" t="s">
        <v>440</v>
      </c>
      <c r="B62" s="104">
        <v>3</v>
      </c>
    </row>
    <row r="63" spans="1:2" x14ac:dyDescent="0.3">
      <c r="A63" s="120" t="s">
        <v>403</v>
      </c>
      <c r="B63" s="105">
        <v>4</v>
      </c>
    </row>
    <row r="64" spans="1:2" x14ac:dyDescent="0.3">
      <c r="A64" s="120" t="s">
        <v>401</v>
      </c>
      <c r="B64" s="104">
        <v>5</v>
      </c>
    </row>
    <row r="65" spans="1:2" x14ac:dyDescent="0.3">
      <c r="A65" s="120" t="s">
        <v>443</v>
      </c>
      <c r="B65" s="105">
        <v>6</v>
      </c>
    </row>
    <row r="66" spans="1:2" ht="28.8" x14ac:dyDescent="0.3">
      <c r="A66" s="121" t="s">
        <v>442</v>
      </c>
      <c r="B66" s="106">
        <v>7</v>
      </c>
    </row>
    <row r="67" spans="1:2" x14ac:dyDescent="0.3">
      <c r="A67" s="121" t="s">
        <v>441</v>
      </c>
      <c r="B67" s="107">
        <v>8</v>
      </c>
    </row>
    <row r="68" spans="1:2" x14ac:dyDescent="0.3">
      <c r="A68" s="121" t="s">
        <v>444</v>
      </c>
      <c r="B68" s="106">
        <v>9</v>
      </c>
    </row>
    <row r="69" spans="1:2" x14ac:dyDescent="0.3">
      <c r="A69" s="121" t="s">
        <v>445</v>
      </c>
      <c r="B69" s="107">
        <v>10</v>
      </c>
    </row>
    <row r="70" spans="1:2" x14ac:dyDescent="0.3">
      <c r="A70" s="122" t="s">
        <v>446</v>
      </c>
      <c r="B70" s="108">
        <v>11</v>
      </c>
    </row>
    <row r="71" spans="1:2" x14ac:dyDescent="0.3">
      <c r="A71" s="122" t="s">
        <v>447</v>
      </c>
      <c r="B71" s="109">
        <v>12</v>
      </c>
    </row>
    <row r="72" spans="1:2" x14ac:dyDescent="0.3">
      <c r="A72" s="122" t="s">
        <v>448</v>
      </c>
      <c r="B72" s="108">
        <v>13</v>
      </c>
    </row>
    <row r="74" spans="1:2" x14ac:dyDescent="0.3">
      <c r="A74" s="125" t="s">
        <v>454</v>
      </c>
    </row>
    <row r="75" spans="1:2" x14ac:dyDescent="0.3">
      <c r="A75" s="124" t="s">
        <v>434</v>
      </c>
      <c r="B75" s="123"/>
    </row>
    <row r="76" spans="1:2" x14ac:dyDescent="0.3">
      <c r="A76" s="95" t="s">
        <v>455</v>
      </c>
      <c r="B76" s="123"/>
    </row>
    <row r="77" spans="1:2" x14ac:dyDescent="0.3">
      <c r="A77" s="95" t="s">
        <v>456</v>
      </c>
      <c r="B77" s="123"/>
    </row>
    <row r="78" spans="1:2" x14ac:dyDescent="0.3">
      <c r="A78" s="95" t="s">
        <v>457</v>
      </c>
      <c r="B78" s="123"/>
    </row>
    <row r="79" spans="1:2" x14ac:dyDescent="0.3">
      <c r="A79" s="95" t="s">
        <v>458</v>
      </c>
      <c r="B79" s="123"/>
    </row>
    <row r="80" spans="1:2" x14ac:dyDescent="0.3">
      <c r="A80" s="95" t="s">
        <v>459</v>
      </c>
      <c r="B80" s="123"/>
    </row>
    <row r="81" spans="1:2" x14ac:dyDescent="0.3">
      <c r="A81" s="95" t="s">
        <v>460</v>
      </c>
      <c r="B81" s="123"/>
    </row>
    <row r="82" spans="1:2" x14ac:dyDescent="0.3">
      <c r="A82" s="95" t="s">
        <v>461</v>
      </c>
      <c r="B82" s="123"/>
    </row>
    <row r="83" spans="1:2" x14ac:dyDescent="0.3">
      <c r="A83" s="95" t="s">
        <v>479</v>
      </c>
      <c r="B83" s="123"/>
    </row>
    <row r="84" spans="1:2" x14ac:dyDescent="0.3">
      <c r="A84" s="123"/>
      <c r="B84" s="123"/>
    </row>
  </sheetData>
  <sheetProtection algorithmName="SHA-512" hashValue="q/pYKe7IXwERiZFRwG7e8h+zvKFQhHZvvW5MhulWOGzWE9Jz3QQyuaMYqU+T/HXtvrP/mUkQ34LmBocu7BCvVw==" saltValue="ZVYyC4IKwOPYb9rtwpiFtg==" spinCount="100000" sheet="1" objects="1" scenarios="1"/>
  <mergeCells count="52">
    <mergeCell ref="A12:A13"/>
    <mergeCell ref="B12:F12"/>
    <mergeCell ref="A37:A38"/>
    <mergeCell ref="B37:B38"/>
    <mergeCell ref="C37:C38"/>
    <mergeCell ref="O2:O3"/>
    <mergeCell ref="I4:I5"/>
    <mergeCell ref="J4:J5"/>
    <mergeCell ref="K4:K5"/>
    <mergeCell ref="L4:L5"/>
    <mergeCell ref="M4:M5"/>
    <mergeCell ref="N4:N5"/>
    <mergeCell ref="O4:O5"/>
    <mergeCell ref="L2:L3"/>
    <mergeCell ref="M2:M3"/>
    <mergeCell ref="N2:N3"/>
    <mergeCell ref="K2:K3"/>
    <mergeCell ref="K12:K13"/>
    <mergeCell ref="L12:L13"/>
    <mergeCell ref="M12:M13"/>
    <mergeCell ref="N12:N13"/>
    <mergeCell ref="O12:O13"/>
    <mergeCell ref="N6:N7"/>
    <mergeCell ref="O6:O7"/>
    <mergeCell ref="I8:I9"/>
    <mergeCell ref="J8:J9"/>
    <mergeCell ref="K8:K9"/>
    <mergeCell ref="L8:L9"/>
    <mergeCell ref="M8:M9"/>
    <mergeCell ref="N8:N9"/>
    <mergeCell ref="O8:O9"/>
    <mergeCell ref="I6:I7"/>
    <mergeCell ref="J6:J7"/>
    <mergeCell ref="K6:K7"/>
    <mergeCell ref="L6:L7"/>
    <mergeCell ref="M6:M7"/>
    <mergeCell ref="N10:N11"/>
    <mergeCell ref="O10:O11"/>
    <mergeCell ref="I10:I11"/>
    <mergeCell ref="J10:J11"/>
    <mergeCell ref="K10:K11"/>
    <mergeCell ref="L10:L11"/>
    <mergeCell ref="M10:M11"/>
    <mergeCell ref="H10:H11"/>
    <mergeCell ref="H12:H13"/>
    <mergeCell ref="H2:H3"/>
    <mergeCell ref="I2:J2"/>
    <mergeCell ref="I12:I13"/>
    <mergeCell ref="J12:J13"/>
    <mergeCell ref="H4:H5"/>
    <mergeCell ref="H6:H7"/>
    <mergeCell ref="H8:H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2" tint="-0.499984740745262"/>
  </sheetPr>
  <dimension ref="B2:J13"/>
  <sheetViews>
    <sheetView view="pageBreakPreview" zoomScale="60" zoomScaleNormal="100" workbookViewId="0">
      <selection activeCell="O8" sqref="O8"/>
    </sheetView>
  </sheetViews>
  <sheetFormatPr baseColWidth="10" defaultColWidth="10.6640625" defaultRowHeight="14.4" x14ac:dyDescent="0.3"/>
  <cols>
    <col min="1" max="1" width="9.44140625" style="60" customWidth="1"/>
    <col min="2" max="2" width="14.6640625" style="60" customWidth="1"/>
    <col min="3" max="3" width="13.6640625" style="60" customWidth="1"/>
    <col min="4" max="8" width="17.6640625" style="60" customWidth="1"/>
    <col min="9" max="9" width="4" style="60" customWidth="1"/>
    <col min="10" max="10" width="12" style="60" customWidth="1"/>
    <col min="11" max="256" width="11.44140625" style="60"/>
    <col min="257" max="257" width="9.44140625" style="60" customWidth="1"/>
    <col min="258" max="258" width="14.6640625" style="60" customWidth="1"/>
    <col min="259" max="259" width="13.6640625" style="60" customWidth="1"/>
    <col min="260" max="264" width="17.6640625" style="60" customWidth="1"/>
    <col min="265" max="265" width="4" style="60" customWidth="1"/>
    <col min="266" max="266" width="12" style="60" customWidth="1"/>
    <col min="267" max="512" width="11.44140625" style="60"/>
    <col min="513" max="513" width="9.44140625" style="60" customWidth="1"/>
    <col min="514" max="514" width="14.6640625" style="60" customWidth="1"/>
    <col min="515" max="515" width="13.6640625" style="60" customWidth="1"/>
    <col min="516" max="520" width="17.6640625" style="60" customWidth="1"/>
    <col min="521" max="521" width="4" style="60" customWidth="1"/>
    <col min="522" max="522" width="12" style="60" customWidth="1"/>
    <col min="523" max="768" width="11.44140625" style="60"/>
    <col min="769" max="769" width="9.44140625" style="60" customWidth="1"/>
    <col min="770" max="770" width="14.6640625" style="60" customWidth="1"/>
    <col min="771" max="771" width="13.6640625" style="60" customWidth="1"/>
    <col min="772" max="776" width="17.6640625" style="60" customWidth="1"/>
    <col min="777" max="777" width="4" style="60" customWidth="1"/>
    <col min="778" max="778" width="12" style="60" customWidth="1"/>
    <col min="779" max="1024" width="11.44140625" style="60"/>
    <col min="1025" max="1025" width="9.44140625" style="60" customWidth="1"/>
    <col min="1026" max="1026" width="14.6640625" style="60" customWidth="1"/>
    <col min="1027" max="1027" width="13.6640625" style="60" customWidth="1"/>
    <col min="1028" max="1032" width="17.6640625" style="60" customWidth="1"/>
    <col min="1033" max="1033" width="4" style="60" customWidth="1"/>
    <col min="1034" max="1034" width="12" style="60" customWidth="1"/>
    <col min="1035" max="1280" width="11.44140625" style="60"/>
    <col min="1281" max="1281" width="9.44140625" style="60" customWidth="1"/>
    <col min="1282" max="1282" width="14.6640625" style="60" customWidth="1"/>
    <col min="1283" max="1283" width="13.6640625" style="60" customWidth="1"/>
    <col min="1284" max="1288" width="17.6640625" style="60" customWidth="1"/>
    <col min="1289" max="1289" width="4" style="60" customWidth="1"/>
    <col min="1290" max="1290" width="12" style="60" customWidth="1"/>
    <col min="1291" max="1536" width="11.44140625" style="60"/>
    <col min="1537" max="1537" width="9.44140625" style="60" customWidth="1"/>
    <col min="1538" max="1538" width="14.6640625" style="60" customWidth="1"/>
    <col min="1539" max="1539" width="13.6640625" style="60" customWidth="1"/>
    <col min="1540" max="1544" width="17.6640625" style="60" customWidth="1"/>
    <col min="1545" max="1545" width="4" style="60" customWidth="1"/>
    <col min="1546" max="1546" width="12" style="60" customWidth="1"/>
    <col min="1547" max="1792" width="11.44140625" style="60"/>
    <col min="1793" max="1793" width="9.44140625" style="60" customWidth="1"/>
    <col min="1794" max="1794" width="14.6640625" style="60" customWidth="1"/>
    <col min="1795" max="1795" width="13.6640625" style="60" customWidth="1"/>
    <col min="1796" max="1800" width="17.6640625" style="60" customWidth="1"/>
    <col min="1801" max="1801" width="4" style="60" customWidth="1"/>
    <col min="1802" max="1802" width="12" style="60" customWidth="1"/>
    <col min="1803" max="2048" width="11.44140625" style="60"/>
    <col min="2049" max="2049" width="9.44140625" style="60" customWidth="1"/>
    <col min="2050" max="2050" width="14.6640625" style="60" customWidth="1"/>
    <col min="2051" max="2051" width="13.6640625" style="60" customWidth="1"/>
    <col min="2052" max="2056" width="17.6640625" style="60" customWidth="1"/>
    <col min="2057" max="2057" width="4" style="60" customWidth="1"/>
    <col min="2058" max="2058" width="12" style="60" customWidth="1"/>
    <col min="2059" max="2304" width="11.44140625" style="60"/>
    <col min="2305" max="2305" width="9.44140625" style="60" customWidth="1"/>
    <col min="2306" max="2306" width="14.6640625" style="60" customWidth="1"/>
    <col min="2307" max="2307" width="13.6640625" style="60" customWidth="1"/>
    <col min="2308" max="2312" width="17.6640625" style="60" customWidth="1"/>
    <col min="2313" max="2313" width="4" style="60" customWidth="1"/>
    <col min="2314" max="2314" width="12" style="60" customWidth="1"/>
    <col min="2315" max="2560" width="11.44140625" style="60"/>
    <col min="2561" max="2561" width="9.44140625" style="60" customWidth="1"/>
    <col min="2562" max="2562" width="14.6640625" style="60" customWidth="1"/>
    <col min="2563" max="2563" width="13.6640625" style="60" customWidth="1"/>
    <col min="2564" max="2568" width="17.6640625" style="60" customWidth="1"/>
    <col min="2569" max="2569" width="4" style="60" customWidth="1"/>
    <col min="2570" max="2570" width="12" style="60" customWidth="1"/>
    <col min="2571" max="2816" width="11.44140625" style="60"/>
    <col min="2817" max="2817" width="9.44140625" style="60" customWidth="1"/>
    <col min="2818" max="2818" width="14.6640625" style="60" customWidth="1"/>
    <col min="2819" max="2819" width="13.6640625" style="60" customWidth="1"/>
    <col min="2820" max="2824" width="17.6640625" style="60" customWidth="1"/>
    <col min="2825" max="2825" width="4" style="60" customWidth="1"/>
    <col min="2826" max="2826" width="12" style="60" customWidth="1"/>
    <col min="2827" max="3072" width="11.44140625" style="60"/>
    <col min="3073" max="3073" width="9.44140625" style="60" customWidth="1"/>
    <col min="3074" max="3074" width="14.6640625" style="60" customWidth="1"/>
    <col min="3075" max="3075" width="13.6640625" style="60" customWidth="1"/>
    <col min="3076" max="3080" width="17.6640625" style="60" customWidth="1"/>
    <col min="3081" max="3081" width="4" style="60" customWidth="1"/>
    <col min="3082" max="3082" width="12" style="60" customWidth="1"/>
    <col min="3083" max="3328" width="11.44140625" style="60"/>
    <col min="3329" max="3329" width="9.44140625" style="60" customWidth="1"/>
    <col min="3330" max="3330" width="14.6640625" style="60" customWidth="1"/>
    <col min="3331" max="3331" width="13.6640625" style="60" customWidth="1"/>
    <col min="3332" max="3336" width="17.6640625" style="60" customWidth="1"/>
    <col min="3337" max="3337" width="4" style="60" customWidth="1"/>
    <col min="3338" max="3338" width="12" style="60" customWidth="1"/>
    <col min="3339" max="3584" width="11.44140625" style="60"/>
    <col min="3585" max="3585" width="9.44140625" style="60" customWidth="1"/>
    <col min="3586" max="3586" width="14.6640625" style="60" customWidth="1"/>
    <col min="3587" max="3587" width="13.6640625" style="60" customWidth="1"/>
    <col min="3588" max="3592" width="17.6640625" style="60" customWidth="1"/>
    <col min="3593" max="3593" width="4" style="60" customWidth="1"/>
    <col min="3594" max="3594" width="12" style="60" customWidth="1"/>
    <col min="3595" max="3840" width="11.44140625" style="60"/>
    <col min="3841" max="3841" width="9.44140625" style="60" customWidth="1"/>
    <col min="3842" max="3842" width="14.6640625" style="60" customWidth="1"/>
    <col min="3843" max="3843" width="13.6640625" style="60" customWidth="1"/>
    <col min="3844" max="3848" width="17.6640625" style="60" customWidth="1"/>
    <col min="3849" max="3849" width="4" style="60" customWidth="1"/>
    <col min="3850" max="3850" width="12" style="60" customWidth="1"/>
    <col min="3851" max="4096" width="11.44140625" style="60"/>
    <col min="4097" max="4097" width="9.44140625" style="60" customWidth="1"/>
    <col min="4098" max="4098" width="14.6640625" style="60" customWidth="1"/>
    <col min="4099" max="4099" width="13.6640625" style="60" customWidth="1"/>
    <col min="4100" max="4104" width="17.6640625" style="60" customWidth="1"/>
    <col min="4105" max="4105" width="4" style="60" customWidth="1"/>
    <col min="4106" max="4106" width="12" style="60" customWidth="1"/>
    <col min="4107" max="4352" width="11.44140625" style="60"/>
    <col min="4353" max="4353" width="9.44140625" style="60" customWidth="1"/>
    <col min="4354" max="4354" width="14.6640625" style="60" customWidth="1"/>
    <col min="4355" max="4355" width="13.6640625" style="60" customWidth="1"/>
    <col min="4356" max="4360" width="17.6640625" style="60" customWidth="1"/>
    <col min="4361" max="4361" width="4" style="60" customWidth="1"/>
    <col min="4362" max="4362" width="12" style="60" customWidth="1"/>
    <col min="4363" max="4608" width="11.44140625" style="60"/>
    <col min="4609" max="4609" width="9.44140625" style="60" customWidth="1"/>
    <col min="4610" max="4610" width="14.6640625" style="60" customWidth="1"/>
    <col min="4611" max="4611" width="13.6640625" style="60" customWidth="1"/>
    <col min="4612" max="4616" width="17.6640625" style="60" customWidth="1"/>
    <col min="4617" max="4617" width="4" style="60" customWidth="1"/>
    <col min="4618" max="4618" width="12" style="60" customWidth="1"/>
    <col min="4619" max="4864" width="11.44140625" style="60"/>
    <col min="4865" max="4865" width="9.44140625" style="60" customWidth="1"/>
    <col min="4866" max="4866" width="14.6640625" style="60" customWidth="1"/>
    <col min="4867" max="4867" width="13.6640625" style="60" customWidth="1"/>
    <col min="4868" max="4872" width="17.6640625" style="60" customWidth="1"/>
    <col min="4873" max="4873" width="4" style="60" customWidth="1"/>
    <col min="4874" max="4874" width="12" style="60" customWidth="1"/>
    <col min="4875" max="5120" width="11.44140625" style="60"/>
    <col min="5121" max="5121" width="9.44140625" style="60" customWidth="1"/>
    <col min="5122" max="5122" width="14.6640625" style="60" customWidth="1"/>
    <col min="5123" max="5123" width="13.6640625" style="60" customWidth="1"/>
    <col min="5124" max="5128" width="17.6640625" style="60" customWidth="1"/>
    <col min="5129" max="5129" width="4" style="60" customWidth="1"/>
    <col min="5130" max="5130" width="12" style="60" customWidth="1"/>
    <col min="5131" max="5376" width="11.44140625" style="60"/>
    <col min="5377" max="5377" width="9.44140625" style="60" customWidth="1"/>
    <col min="5378" max="5378" width="14.6640625" style="60" customWidth="1"/>
    <col min="5379" max="5379" width="13.6640625" style="60" customWidth="1"/>
    <col min="5380" max="5384" width="17.6640625" style="60" customWidth="1"/>
    <col min="5385" max="5385" width="4" style="60" customWidth="1"/>
    <col min="5386" max="5386" width="12" style="60" customWidth="1"/>
    <col min="5387" max="5632" width="11.44140625" style="60"/>
    <col min="5633" max="5633" width="9.44140625" style="60" customWidth="1"/>
    <col min="5634" max="5634" width="14.6640625" style="60" customWidth="1"/>
    <col min="5635" max="5635" width="13.6640625" style="60" customWidth="1"/>
    <col min="5636" max="5640" width="17.6640625" style="60" customWidth="1"/>
    <col min="5641" max="5641" width="4" style="60" customWidth="1"/>
    <col min="5642" max="5642" width="12" style="60" customWidth="1"/>
    <col min="5643" max="5888" width="11.44140625" style="60"/>
    <col min="5889" max="5889" width="9.44140625" style="60" customWidth="1"/>
    <col min="5890" max="5890" width="14.6640625" style="60" customWidth="1"/>
    <col min="5891" max="5891" width="13.6640625" style="60" customWidth="1"/>
    <col min="5892" max="5896" width="17.6640625" style="60" customWidth="1"/>
    <col min="5897" max="5897" width="4" style="60" customWidth="1"/>
    <col min="5898" max="5898" width="12" style="60" customWidth="1"/>
    <col min="5899" max="6144" width="11.44140625" style="60"/>
    <col min="6145" max="6145" width="9.44140625" style="60" customWidth="1"/>
    <col min="6146" max="6146" width="14.6640625" style="60" customWidth="1"/>
    <col min="6147" max="6147" width="13.6640625" style="60" customWidth="1"/>
    <col min="6148" max="6152" width="17.6640625" style="60" customWidth="1"/>
    <col min="6153" max="6153" width="4" style="60" customWidth="1"/>
    <col min="6154" max="6154" width="12" style="60" customWidth="1"/>
    <col min="6155" max="6400" width="11.44140625" style="60"/>
    <col min="6401" max="6401" width="9.44140625" style="60" customWidth="1"/>
    <col min="6402" max="6402" width="14.6640625" style="60" customWidth="1"/>
    <col min="6403" max="6403" width="13.6640625" style="60" customWidth="1"/>
    <col min="6404" max="6408" width="17.6640625" style="60" customWidth="1"/>
    <col min="6409" max="6409" width="4" style="60" customWidth="1"/>
    <col min="6410" max="6410" width="12" style="60" customWidth="1"/>
    <col min="6411" max="6656" width="11.44140625" style="60"/>
    <col min="6657" max="6657" width="9.44140625" style="60" customWidth="1"/>
    <col min="6658" max="6658" width="14.6640625" style="60" customWidth="1"/>
    <col min="6659" max="6659" width="13.6640625" style="60" customWidth="1"/>
    <col min="6660" max="6664" width="17.6640625" style="60" customWidth="1"/>
    <col min="6665" max="6665" width="4" style="60" customWidth="1"/>
    <col min="6666" max="6666" width="12" style="60" customWidth="1"/>
    <col min="6667" max="6912" width="11.44140625" style="60"/>
    <col min="6913" max="6913" width="9.44140625" style="60" customWidth="1"/>
    <col min="6914" max="6914" width="14.6640625" style="60" customWidth="1"/>
    <col min="6915" max="6915" width="13.6640625" style="60" customWidth="1"/>
    <col min="6916" max="6920" width="17.6640625" style="60" customWidth="1"/>
    <col min="6921" max="6921" width="4" style="60" customWidth="1"/>
    <col min="6922" max="6922" width="12" style="60" customWidth="1"/>
    <col min="6923" max="7168" width="11.44140625" style="60"/>
    <col min="7169" max="7169" width="9.44140625" style="60" customWidth="1"/>
    <col min="7170" max="7170" width="14.6640625" style="60" customWidth="1"/>
    <col min="7171" max="7171" width="13.6640625" style="60" customWidth="1"/>
    <col min="7172" max="7176" width="17.6640625" style="60" customWidth="1"/>
    <col min="7177" max="7177" width="4" style="60" customWidth="1"/>
    <col min="7178" max="7178" width="12" style="60" customWidth="1"/>
    <col min="7179" max="7424" width="11.44140625" style="60"/>
    <col min="7425" max="7425" width="9.44140625" style="60" customWidth="1"/>
    <col min="7426" max="7426" width="14.6640625" style="60" customWidth="1"/>
    <col min="7427" max="7427" width="13.6640625" style="60" customWidth="1"/>
    <col min="7428" max="7432" width="17.6640625" style="60" customWidth="1"/>
    <col min="7433" max="7433" width="4" style="60" customWidth="1"/>
    <col min="7434" max="7434" width="12" style="60" customWidth="1"/>
    <col min="7435" max="7680" width="11.44140625" style="60"/>
    <col min="7681" max="7681" width="9.44140625" style="60" customWidth="1"/>
    <col min="7682" max="7682" width="14.6640625" style="60" customWidth="1"/>
    <col min="7683" max="7683" width="13.6640625" style="60" customWidth="1"/>
    <col min="7684" max="7688" width="17.6640625" style="60" customWidth="1"/>
    <col min="7689" max="7689" width="4" style="60" customWidth="1"/>
    <col min="7690" max="7690" width="12" style="60" customWidth="1"/>
    <col min="7691" max="7936" width="11.44140625" style="60"/>
    <col min="7937" max="7937" width="9.44140625" style="60" customWidth="1"/>
    <col min="7938" max="7938" width="14.6640625" style="60" customWidth="1"/>
    <col min="7939" max="7939" width="13.6640625" style="60" customWidth="1"/>
    <col min="7940" max="7944" width="17.6640625" style="60" customWidth="1"/>
    <col min="7945" max="7945" width="4" style="60" customWidth="1"/>
    <col min="7946" max="7946" width="12" style="60" customWidth="1"/>
    <col min="7947" max="8192" width="11.44140625" style="60"/>
    <col min="8193" max="8193" width="9.44140625" style="60" customWidth="1"/>
    <col min="8194" max="8194" width="14.6640625" style="60" customWidth="1"/>
    <col min="8195" max="8195" width="13.6640625" style="60" customWidth="1"/>
    <col min="8196" max="8200" width="17.6640625" style="60" customWidth="1"/>
    <col min="8201" max="8201" width="4" style="60" customWidth="1"/>
    <col min="8202" max="8202" width="12" style="60" customWidth="1"/>
    <col min="8203" max="8448" width="11.44140625" style="60"/>
    <col min="8449" max="8449" width="9.44140625" style="60" customWidth="1"/>
    <col min="8450" max="8450" width="14.6640625" style="60" customWidth="1"/>
    <col min="8451" max="8451" width="13.6640625" style="60" customWidth="1"/>
    <col min="8452" max="8456" width="17.6640625" style="60" customWidth="1"/>
    <col min="8457" max="8457" width="4" style="60" customWidth="1"/>
    <col min="8458" max="8458" width="12" style="60" customWidth="1"/>
    <col min="8459" max="8704" width="11.44140625" style="60"/>
    <col min="8705" max="8705" width="9.44140625" style="60" customWidth="1"/>
    <col min="8706" max="8706" width="14.6640625" style="60" customWidth="1"/>
    <col min="8707" max="8707" width="13.6640625" style="60" customWidth="1"/>
    <col min="8708" max="8712" width="17.6640625" style="60" customWidth="1"/>
    <col min="8713" max="8713" width="4" style="60" customWidth="1"/>
    <col min="8714" max="8714" width="12" style="60" customWidth="1"/>
    <col min="8715" max="8960" width="11.44140625" style="60"/>
    <col min="8961" max="8961" width="9.44140625" style="60" customWidth="1"/>
    <col min="8962" max="8962" width="14.6640625" style="60" customWidth="1"/>
    <col min="8963" max="8963" width="13.6640625" style="60" customWidth="1"/>
    <col min="8964" max="8968" width="17.6640625" style="60" customWidth="1"/>
    <col min="8969" max="8969" width="4" style="60" customWidth="1"/>
    <col min="8970" max="8970" width="12" style="60" customWidth="1"/>
    <col min="8971" max="9216" width="11.44140625" style="60"/>
    <col min="9217" max="9217" width="9.44140625" style="60" customWidth="1"/>
    <col min="9218" max="9218" width="14.6640625" style="60" customWidth="1"/>
    <col min="9219" max="9219" width="13.6640625" style="60" customWidth="1"/>
    <col min="9220" max="9224" width="17.6640625" style="60" customWidth="1"/>
    <col min="9225" max="9225" width="4" style="60" customWidth="1"/>
    <col min="9226" max="9226" width="12" style="60" customWidth="1"/>
    <col min="9227" max="9472" width="11.44140625" style="60"/>
    <col min="9473" max="9473" width="9.44140625" style="60" customWidth="1"/>
    <col min="9474" max="9474" width="14.6640625" style="60" customWidth="1"/>
    <col min="9475" max="9475" width="13.6640625" style="60" customWidth="1"/>
    <col min="9476" max="9480" width="17.6640625" style="60" customWidth="1"/>
    <col min="9481" max="9481" width="4" style="60" customWidth="1"/>
    <col min="9482" max="9482" width="12" style="60" customWidth="1"/>
    <col min="9483" max="9728" width="11.44140625" style="60"/>
    <col min="9729" max="9729" width="9.44140625" style="60" customWidth="1"/>
    <col min="9730" max="9730" width="14.6640625" style="60" customWidth="1"/>
    <col min="9731" max="9731" width="13.6640625" style="60" customWidth="1"/>
    <col min="9732" max="9736" width="17.6640625" style="60" customWidth="1"/>
    <col min="9737" max="9737" width="4" style="60" customWidth="1"/>
    <col min="9738" max="9738" width="12" style="60" customWidth="1"/>
    <col min="9739" max="9984" width="11.44140625" style="60"/>
    <col min="9985" max="9985" width="9.44140625" style="60" customWidth="1"/>
    <col min="9986" max="9986" width="14.6640625" style="60" customWidth="1"/>
    <col min="9987" max="9987" width="13.6640625" style="60" customWidth="1"/>
    <col min="9988" max="9992" width="17.6640625" style="60" customWidth="1"/>
    <col min="9993" max="9993" width="4" style="60" customWidth="1"/>
    <col min="9994" max="9994" width="12" style="60" customWidth="1"/>
    <col min="9995" max="10240" width="11.44140625" style="60"/>
    <col min="10241" max="10241" width="9.44140625" style="60" customWidth="1"/>
    <col min="10242" max="10242" width="14.6640625" style="60" customWidth="1"/>
    <col min="10243" max="10243" width="13.6640625" style="60" customWidth="1"/>
    <col min="10244" max="10248" width="17.6640625" style="60" customWidth="1"/>
    <col min="10249" max="10249" width="4" style="60" customWidth="1"/>
    <col min="10250" max="10250" width="12" style="60" customWidth="1"/>
    <col min="10251" max="10496" width="11.44140625" style="60"/>
    <col min="10497" max="10497" width="9.44140625" style="60" customWidth="1"/>
    <col min="10498" max="10498" width="14.6640625" style="60" customWidth="1"/>
    <col min="10499" max="10499" width="13.6640625" style="60" customWidth="1"/>
    <col min="10500" max="10504" width="17.6640625" style="60" customWidth="1"/>
    <col min="10505" max="10505" width="4" style="60" customWidth="1"/>
    <col min="10506" max="10506" width="12" style="60" customWidth="1"/>
    <col min="10507" max="10752" width="11.44140625" style="60"/>
    <col min="10753" max="10753" width="9.44140625" style="60" customWidth="1"/>
    <col min="10754" max="10754" width="14.6640625" style="60" customWidth="1"/>
    <col min="10755" max="10755" width="13.6640625" style="60" customWidth="1"/>
    <col min="10756" max="10760" width="17.6640625" style="60" customWidth="1"/>
    <col min="10761" max="10761" width="4" style="60" customWidth="1"/>
    <col min="10762" max="10762" width="12" style="60" customWidth="1"/>
    <col min="10763" max="11008" width="11.44140625" style="60"/>
    <col min="11009" max="11009" width="9.44140625" style="60" customWidth="1"/>
    <col min="11010" max="11010" width="14.6640625" style="60" customWidth="1"/>
    <col min="11011" max="11011" width="13.6640625" style="60" customWidth="1"/>
    <col min="11012" max="11016" width="17.6640625" style="60" customWidth="1"/>
    <col min="11017" max="11017" width="4" style="60" customWidth="1"/>
    <col min="11018" max="11018" width="12" style="60" customWidth="1"/>
    <col min="11019" max="11264" width="11.44140625" style="60"/>
    <col min="11265" max="11265" width="9.44140625" style="60" customWidth="1"/>
    <col min="11266" max="11266" width="14.6640625" style="60" customWidth="1"/>
    <col min="11267" max="11267" width="13.6640625" style="60" customWidth="1"/>
    <col min="11268" max="11272" width="17.6640625" style="60" customWidth="1"/>
    <col min="11273" max="11273" width="4" style="60" customWidth="1"/>
    <col min="11274" max="11274" width="12" style="60" customWidth="1"/>
    <col min="11275" max="11520" width="11.44140625" style="60"/>
    <col min="11521" max="11521" width="9.44140625" style="60" customWidth="1"/>
    <col min="11522" max="11522" width="14.6640625" style="60" customWidth="1"/>
    <col min="11523" max="11523" width="13.6640625" style="60" customWidth="1"/>
    <col min="11524" max="11528" width="17.6640625" style="60" customWidth="1"/>
    <col min="11529" max="11529" width="4" style="60" customWidth="1"/>
    <col min="11530" max="11530" width="12" style="60" customWidth="1"/>
    <col min="11531" max="11776" width="11.44140625" style="60"/>
    <col min="11777" max="11777" width="9.44140625" style="60" customWidth="1"/>
    <col min="11778" max="11778" width="14.6640625" style="60" customWidth="1"/>
    <col min="11779" max="11779" width="13.6640625" style="60" customWidth="1"/>
    <col min="11780" max="11784" width="17.6640625" style="60" customWidth="1"/>
    <col min="11785" max="11785" width="4" style="60" customWidth="1"/>
    <col min="11786" max="11786" width="12" style="60" customWidth="1"/>
    <col min="11787" max="12032" width="11.44140625" style="60"/>
    <col min="12033" max="12033" width="9.44140625" style="60" customWidth="1"/>
    <col min="12034" max="12034" width="14.6640625" style="60" customWidth="1"/>
    <col min="12035" max="12035" width="13.6640625" style="60" customWidth="1"/>
    <col min="12036" max="12040" width="17.6640625" style="60" customWidth="1"/>
    <col min="12041" max="12041" width="4" style="60" customWidth="1"/>
    <col min="12042" max="12042" width="12" style="60" customWidth="1"/>
    <col min="12043" max="12288" width="11.44140625" style="60"/>
    <col min="12289" max="12289" width="9.44140625" style="60" customWidth="1"/>
    <col min="12290" max="12290" width="14.6640625" style="60" customWidth="1"/>
    <col min="12291" max="12291" width="13.6640625" style="60" customWidth="1"/>
    <col min="12292" max="12296" width="17.6640625" style="60" customWidth="1"/>
    <col min="12297" max="12297" width="4" style="60" customWidth="1"/>
    <col min="12298" max="12298" width="12" style="60" customWidth="1"/>
    <col min="12299" max="12544" width="11.44140625" style="60"/>
    <col min="12545" max="12545" width="9.44140625" style="60" customWidth="1"/>
    <col min="12546" max="12546" width="14.6640625" style="60" customWidth="1"/>
    <col min="12547" max="12547" width="13.6640625" style="60" customWidth="1"/>
    <col min="12548" max="12552" width="17.6640625" style="60" customWidth="1"/>
    <col min="12553" max="12553" width="4" style="60" customWidth="1"/>
    <col min="12554" max="12554" width="12" style="60" customWidth="1"/>
    <col min="12555" max="12800" width="11.44140625" style="60"/>
    <col min="12801" max="12801" width="9.44140625" style="60" customWidth="1"/>
    <col min="12802" max="12802" width="14.6640625" style="60" customWidth="1"/>
    <col min="12803" max="12803" width="13.6640625" style="60" customWidth="1"/>
    <col min="12804" max="12808" width="17.6640625" style="60" customWidth="1"/>
    <col min="12809" max="12809" width="4" style="60" customWidth="1"/>
    <col min="12810" max="12810" width="12" style="60" customWidth="1"/>
    <col min="12811" max="13056" width="11.44140625" style="60"/>
    <col min="13057" max="13057" width="9.44140625" style="60" customWidth="1"/>
    <col min="13058" max="13058" width="14.6640625" style="60" customWidth="1"/>
    <col min="13059" max="13059" width="13.6640625" style="60" customWidth="1"/>
    <col min="13060" max="13064" width="17.6640625" style="60" customWidth="1"/>
    <col min="13065" max="13065" width="4" style="60" customWidth="1"/>
    <col min="13066" max="13066" width="12" style="60" customWidth="1"/>
    <col min="13067" max="13312" width="11.44140625" style="60"/>
    <col min="13313" max="13313" width="9.44140625" style="60" customWidth="1"/>
    <col min="13314" max="13314" width="14.6640625" style="60" customWidth="1"/>
    <col min="13315" max="13315" width="13.6640625" style="60" customWidth="1"/>
    <col min="13316" max="13320" width="17.6640625" style="60" customWidth="1"/>
    <col min="13321" max="13321" width="4" style="60" customWidth="1"/>
    <col min="13322" max="13322" width="12" style="60" customWidth="1"/>
    <col min="13323" max="13568" width="11.44140625" style="60"/>
    <col min="13569" max="13569" width="9.44140625" style="60" customWidth="1"/>
    <col min="13570" max="13570" width="14.6640625" style="60" customWidth="1"/>
    <col min="13571" max="13571" width="13.6640625" style="60" customWidth="1"/>
    <col min="13572" max="13576" width="17.6640625" style="60" customWidth="1"/>
    <col min="13577" max="13577" width="4" style="60" customWidth="1"/>
    <col min="13578" max="13578" width="12" style="60" customWidth="1"/>
    <col min="13579" max="13824" width="11.44140625" style="60"/>
    <col min="13825" max="13825" width="9.44140625" style="60" customWidth="1"/>
    <col min="13826" max="13826" width="14.6640625" style="60" customWidth="1"/>
    <col min="13827" max="13827" width="13.6640625" style="60" customWidth="1"/>
    <col min="13828" max="13832" width="17.6640625" style="60" customWidth="1"/>
    <col min="13833" max="13833" width="4" style="60" customWidth="1"/>
    <col min="13834" max="13834" width="12" style="60" customWidth="1"/>
    <col min="13835" max="14080" width="11.44140625" style="60"/>
    <col min="14081" max="14081" width="9.44140625" style="60" customWidth="1"/>
    <col min="14082" max="14082" width="14.6640625" style="60" customWidth="1"/>
    <col min="14083" max="14083" width="13.6640625" style="60" customWidth="1"/>
    <col min="14084" max="14088" width="17.6640625" style="60" customWidth="1"/>
    <col min="14089" max="14089" width="4" style="60" customWidth="1"/>
    <col min="14090" max="14090" width="12" style="60" customWidth="1"/>
    <col min="14091" max="14336" width="11.44140625" style="60"/>
    <col min="14337" max="14337" width="9.44140625" style="60" customWidth="1"/>
    <col min="14338" max="14338" width="14.6640625" style="60" customWidth="1"/>
    <col min="14339" max="14339" width="13.6640625" style="60" customWidth="1"/>
    <col min="14340" max="14344" width="17.6640625" style="60" customWidth="1"/>
    <col min="14345" max="14345" width="4" style="60" customWidth="1"/>
    <col min="14346" max="14346" width="12" style="60" customWidth="1"/>
    <col min="14347" max="14592" width="11.44140625" style="60"/>
    <col min="14593" max="14593" width="9.44140625" style="60" customWidth="1"/>
    <col min="14594" max="14594" width="14.6640625" style="60" customWidth="1"/>
    <col min="14595" max="14595" width="13.6640625" style="60" customWidth="1"/>
    <col min="14596" max="14600" width="17.6640625" style="60" customWidth="1"/>
    <col min="14601" max="14601" width="4" style="60" customWidth="1"/>
    <col min="14602" max="14602" width="12" style="60" customWidth="1"/>
    <col min="14603" max="14848" width="11.44140625" style="60"/>
    <col min="14849" max="14849" width="9.44140625" style="60" customWidth="1"/>
    <col min="14850" max="14850" width="14.6640625" style="60" customWidth="1"/>
    <col min="14851" max="14851" width="13.6640625" style="60" customWidth="1"/>
    <col min="14852" max="14856" width="17.6640625" style="60" customWidth="1"/>
    <col min="14857" max="14857" width="4" style="60" customWidth="1"/>
    <col min="14858" max="14858" width="12" style="60" customWidth="1"/>
    <col min="14859" max="15104" width="11.44140625" style="60"/>
    <col min="15105" max="15105" width="9.44140625" style="60" customWidth="1"/>
    <col min="15106" max="15106" width="14.6640625" style="60" customWidth="1"/>
    <col min="15107" max="15107" width="13.6640625" style="60" customWidth="1"/>
    <col min="15108" max="15112" width="17.6640625" style="60" customWidth="1"/>
    <col min="15113" max="15113" width="4" style="60" customWidth="1"/>
    <col min="15114" max="15114" width="12" style="60" customWidth="1"/>
    <col min="15115" max="15360" width="11.44140625" style="60"/>
    <col min="15361" max="15361" width="9.44140625" style="60" customWidth="1"/>
    <col min="15362" max="15362" width="14.6640625" style="60" customWidth="1"/>
    <col min="15363" max="15363" width="13.6640625" style="60" customWidth="1"/>
    <col min="15364" max="15368" width="17.6640625" style="60" customWidth="1"/>
    <col min="15369" max="15369" width="4" style="60" customWidth="1"/>
    <col min="15370" max="15370" width="12" style="60" customWidth="1"/>
    <col min="15371" max="15616" width="11.44140625" style="60"/>
    <col min="15617" max="15617" width="9.44140625" style="60" customWidth="1"/>
    <col min="15618" max="15618" width="14.6640625" style="60" customWidth="1"/>
    <col min="15619" max="15619" width="13.6640625" style="60" customWidth="1"/>
    <col min="15620" max="15624" width="17.6640625" style="60" customWidth="1"/>
    <col min="15625" max="15625" width="4" style="60" customWidth="1"/>
    <col min="15626" max="15626" width="12" style="60" customWidth="1"/>
    <col min="15627" max="15872" width="11.44140625" style="60"/>
    <col min="15873" max="15873" width="9.44140625" style="60" customWidth="1"/>
    <col min="15874" max="15874" width="14.6640625" style="60" customWidth="1"/>
    <col min="15875" max="15875" width="13.6640625" style="60" customWidth="1"/>
    <col min="15876" max="15880" width="17.6640625" style="60" customWidth="1"/>
    <col min="15881" max="15881" width="4" style="60" customWidth="1"/>
    <col min="15882" max="15882" width="12" style="60" customWidth="1"/>
    <col min="15883" max="16128" width="11.44140625" style="60"/>
    <col min="16129" max="16129" width="9.44140625" style="60" customWidth="1"/>
    <col min="16130" max="16130" width="14.6640625" style="60" customWidth="1"/>
    <col min="16131" max="16131" width="13.6640625" style="60" customWidth="1"/>
    <col min="16132" max="16136" width="17.6640625" style="60" customWidth="1"/>
    <col min="16137" max="16137" width="4" style="60" customWidth="1"/>
    <col min="16138" max="16138" width="12" style="60" customWidth="1"/>
    <col min="16139" max="16384" width="11.44140625" style="60"/>
  </cols>
  <sheetData>
    <row r="2" spans="2:10" x14ac:dyDescent="0.3">
      <c r="D2" s="244" t="s">
        <v>7</v>
      </c>
      <c r="E2" s="244"/>
      <c r="F2" s="244"/>
      <c r="G2" s="244"/>
      <c r="H2" s="244"/>
    </row>
    <row r="4" spans="2:10" x14ac:dyDescent="0.3">
      <c r="D4" s="72" t="s">
        <v>369</v>
      </c>
      <c r="E4" s="73" t="s">
        <v>370</v>
      </c>
      <c r="F4" s="73" t="s">
        <v>364</v>
      </c>
      <c r="G4" s="73" t="s">
        <v>371</v>
      </c>
      <c r="H4" s="73" t="s">
        <v>366</v>
      </c>
    </row>
    <row r="6" spans="2:10" ht="50.1" customHeight="1" x14ac:dyDescent="0.3">
      <c r="C6" s="61" t="s">
        <v>40</v>
      </c>
      <c r="D6" s="70"/>
      <c r="E6" s="70"/>
      <c r="F6" s="67"/>
      <c r="G6" s="75"/>
      <c r="H6" s="75"/>
      <c r="J6" s="63" t="s">
        <v>367</v>
      </c>
    </row>
    <row r="7" spans="2:10" ht="50.1" customHeight="1" x14ac:dyDescent="0.3">
      <c r="C7" s="61" t="s">
        <v>42</v>
      </c>
      <c r="D7" s="71"/>
      <c r="E7" s="70"/>
      <c r="F7" s="64"/>
      <c r="G7" s="75"/>
      <c r="H7" s="62"/>
      <c r="J7" s="74" t="s">
        <v>368</v>
      </c>
    </row>
    <row r="8" spans="2:10" ht="50.1" customHeight="1" x14ac:dyDescent="0.3">
      <c r="B8" s="65" t="s">
        <v>6</v>
      </c>
      <c r="C8" s="66" t="s">
        <v>44</v>
      </c>
      <c r="D8" s="77"/>
      <c r="E8" s="67"/>
      <c r="F8" s="75"/>
      <c r="G8" s="62"/>
      <c r="H8" s="62"/>
      <c r="J8" s="64" t="s">
        <v>364</v>
      </c>
    </row>
    <row r="9" spans="2:10" ht="50.1" customHeight="1" x14ac:dyDescent="0.3">
      <c r="C9" s="61" t="s">
        <v>46</v>
      </c>
      <c r="D9" s="67"/>
      <c r="E9" s="75"/>
      <c r="F9" s="76"/>
      <c r="G9" s="62"/>
      <c r="H9" s="62"/>
      <c r="J9" s="71" t="s">
        <v>365</v>
      </c>
    </row>
    <row r="10" spans="2:10" ht="50.1" customHeight="1" x14ac:dyDescent="0.3">
      <c r="C10" s="61" t="s">
        <v>48</v>
      </c>
      <c r="D10" s="75"/>
      <c r="E10" s="75"/>
      <c r="F10" s="62"/>
      <c r="G10" s="62"/>
      <c r="H10" s="62"/>
      <c r="J10" s="68"/>
    </row>
    <row r="12" spans="2:10" x14ac:dyDescent="0.3">
      <c r="D12" s="69"/>
      <c r="E12" s="69"/>
      <c r="F12" s="69"/>
      <c r="G12" s="69"/>
      <c r="H12" s="69"/>
    </row>
    <row r="13" spans="2:10" x14ac:dyDescent="0.3">
      <c r="D13" s="69"/>
      <c r="E13" s="69"/>
      <c r="F13" s="69"/>
      <c r="G13" s="69"/>
      <c r="H13" s="69"/>
    </row>
  </sheetData>
  <sheetProtection password="CCE3" sheet="1" objects="1" scenarios="1"/>
  <mergeCells count="1">
    <mergeCell ref="D2:H2"/>
  </mergeCells>
  <pageMargins left="0.7" right="0.7" top="0.75" bottom="0.75" header="0.3" footer="0.3"/>
  <pageSetup scale="6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34998626667073579"/>
  </sheetPr>
  <dimension ref="A10:S32"/>
  <sheetViews>
    <sheetView zoomScaleNormal="100" workbookViewId="0">
      <selection activeCell="I14" sqref="I14"/>
    </sheetView>
  </sheetViews>
  <sheetFormatPr baseColWidth="10" defaultColWidth="11.44140625" defaultRowHeight="15.6" x14ac:dyDescent="0.3"/>
  <cols>
    <col min="1" max="1" width="15.88671875" style="91" customWidth="1"/>
    <col min="2" max="2" width="18.5546875" style="91" customWidth="1"/>
    <col min="3" max="4" width="18.44140625" style="91" customWidth="1"/>
    <col min="5" max="5" width="27" style="91" customWidth="1"/>
    <col min="6" max="6" width="29" style="91" customWidth="1"/>
    <col min="7" max="7" width="23.44140625" style="91" customWidth="1"/>
    <col min="8" max="8" width="18.44140625" style="91" customWidth="1"/>
    <col min="9" max="9" width="26" style="91" bestFit="1" customWidth="1"/>
    <col min="10" max="10" width="24.88671875" style="91" customWidth="1"/>
    <col min="11" max="11" width="19.109375" style="91" customWidth="1"/>
    <col min="12" max="12" width="22" style="91" customWidth="1"/>
    <col min="13" max="13" width="19.109375" style="91" customWidth="1"/>
    <col min="14" max="14" width="22.109375" style="91" customWidth="1"/>
    <col min="15" max="15" width="31.33203125" style="91" bestFit="1" customWidth="1"/>
    <col min="16" max="16" width="17" style="91" bestFit="1" customWidth="1"/>
    <col min="17" max="17" width="19.109375" style="91" customWidth="1"/>
    <col min="18" max="18" width="14.5546875" style="91" bestFit="1" customWidth="1"/>
    <col min="19" max="19" width="19.109375" style="91" hidden="1" customWidth="1"/>
    <col min="20" max="20" width="14.88671875" style="91" customWidth="1"/>
    <col min="21" max="21" width="19.5546875" style="91" customWidth="1"/>
    <col min="22" max="22" width="18.6640625" style="91" customWidth="1"/>
    <col min="23" max="23" width="19" style="91" customWidth="1"/>
    <col min="24" max="24" width="19.88671875" style="91" customWidth="1"/>
    <col min="25" max="25" width="17.33203125" style="91" customWidth="1"/>
    <col min="26" max="26" width="16.88671875" style="91" customWidth="1"/>
    <col min="27" max="27" width="22.88671875" style="91" customWidth="1"/>
    <col min="28" max="28" width="11.44140625" style="91" customWidth="1"/>
    <col min="29" max="29" width="18.44140625" style="91" customWidth="1"/>
    <col min="30" max="30" width="11.44140625" style="91" customWidth="1"/>
    <col min="31" max="31" width="17.33203125" style="91" customWidth="1"/>
    <col min="32" max="32" width="11.44140625" style="91" customWidth="1"/>
    <col min="33" max="33" width="18.88671875" style="91" customWidth="1"/>
    <col min="34" max="16384" width="11.44140625" style="91"/>
  </cols>
  <sheetData>
    <row r="10" spans="1:16" ht="23.4" x14ac:dyDescent="0.3">
      <c r="A10" s="201" t="s">
        <v>343</v>
      </c>
      <c r="B10" s="201"/>
      <c r="C10" s="201"/>
      <c r="D10" s="201"/>
      <c r="E10" s="202" t="s">
        <v>356</v>
      </c>
      <c r="F10" s="202"/>
      <c r="G10" s="202"/>
    </row>
    <row r="12" spans="1:16" s="89" customFormat="1" ht="57.75" customHeight="1" x14ac:dyDescent="0.3">
      <c r="A12" s="93" t="s">
        <v>150</v>
      </c>
      <c r="B12" s="93" t="s">
        <v>151</v>
      </c>
      <c r="C12" s="93" t="s">
        <v>152</v>
      </c>
      <c r="D12" s="93" t="s">
        <v>153</v>
      </c>
      <c r="E12" s="93" t="s">
        <v>154</v>
      </c>
      <c r="F12" s="94" t="s">
        <v>155</v>
      </c>
      <c r="G12" s="93" t="s">
        <v>156</v>
      </c>
      <c r="H12" s="93" t="s">
        <v>157</v>
      </c>
      <c r="I12" s="93" t="s">
        <v>158</v>
      </c>
      <c r="J12" s="93" t="s">
        <v>159</v>
      </c>
      <c r="K12" s="93" t="s">
        <v>437</v>
      </c>
      <c r="L12" s="93" t="s">
        <v>160</v>
      </c>
      <c r="M12" s="93" t="s">
        <v>465</v>
      </c>
      <c r="N12" s="93" t="s">
        <v>161</v>
      </c>
      <c r="O12" s="93" t="s">
        <v>438</v>
      </c>
      <c r="P12" s="94" t="s">
        <v>162</v>
      </c>
    </row>
    <row r="13" spans="1:16" s="89" customFormat="1" ht="72" x14ac:dyDescent="0.3">
      <c r="A13" s="97" t="s">
        <v>449</v>
      </c>
      <c r="B13" s="98" t="s">
        <v>431</v>
      </c>
      <c r="C13" s="99">
        <v>43586</v>
      </c>
      <c r="D13" s="99">
        <v>43586</v>
      </c>
      <c r="E13" s="99">
        <v>43633</v>
      </c>
      <c r="F13" s="99">
        <v>43633</v>
      </c>
      <c r="G13" s="97" t="s">
        <v>432</v>
      </c>
      <c r="H13" s="88">
        <v>7287890</v>
      </c>
      <c r="I13" s="136">
        <v>7287890</v>
      </c>
      <c r="J13" s="97">
        <v>0</v>
      </c>
      <c r="K13" s="97" t="s">
        <v>204</v>
      </c>
      <c r="L13" s="97" t="s">
        <v>384</v>
      </c>
      <c r="M13" s="97" t="s">
        <v>401</v>
      </c>
      <c r="N13" s="101" t="s">
        <v>422</v>
      </c>
      <c r="O13" s="98" t="s">
        <v>433</v>
      </c>
      <c r="P13" s="98" t="s">
        <v>434</v>
      </c>
    </row>
    <row r="14" spans="1:16" s="89" customFormat="1" ht="95.25" customHeight="1" x14ac:dyDescent="0.3">
      <c r="A14" s="97" t="s">
        <v>574</v>
      </c>
      <c r="B14" s="98" t="s">
        <v>573</v>
      </c>
      <c r="C14" s="99">
        <v>43586</v>
      </c>
      <c r="D14" s="99">
        <v>43709</v>
      </c>
      <c r="E14" s="100"/>
      <c r="F14" s="97" t="s">
        <v>207</v>
      </c>
      <c r="G14" s="97" t="s">
        <v>435</v>
      </c>
      <c r="H14" s="97" t="s">
        <v>207</v>
      </c>
      <c r="I14" s="97" t="s">
        <v>207</v>
      </c>
      <c r="J14" s="97" t="s">
        <v>207</v>
      </c>
      <c r="K14" s="97" t="s">
        <v>203</v>
      </c>
      <c r="L14" s="97" t="s">
        <v>385</v>
      </c>
      <c r="M14" s="97" t="s">
        <v>401</v>
      </c>
      <c r="N14" s="101" t="s">
        <v>423</v>
      </c>
      <c r="O14" s="98" t="s">
        <v>436</v>
      </c>
      <c r="P14" s="98" t="s">
        <v>434</v>
      </c>
    </row>
    <row r="15" spans="1:16" s="89" customFormat="1" ht="28.8" x14ac:dyDescent="0.3">
      <c r="A15" s="97" t="s">
        <v>451</v>
      </c>
      <c r="B15" s="98" t="s">
        <v>506</v>
      </c>
      <c r="C15" s="99">
        <v>43678</v>
      </c>
      <c r="D15" s="99">
        <v>43678</v>
      </c>
      <c r="E15" s="97"/>
      <c r="F15" s="97" t="s">
        <v>207</v>
      </c>
      <c r="G15" s="97" t="s">
        <v>432</v>
      </c>
      <c r="H15" s="97" t="s">
        <v>505</v>
      </c>
      <c r="I15" s="97" t="s">
        <v>207</v>
      </c>
      <c r="J15" s="97" t="s">
        <v>207</v>
      </c>
      <c r="K15" s="97" t="s">
        <v>204</v>
      </c>
      <c r="L15" s="97" t="s">
        <v>380</v>
      </c>
      <c r="M15" s="97" t="s">
        <v>446</v>
      </c>
      <c r="N15" s="98" t="s">
        <v>507</v>
      </c>
      <c r="O15" s="97" t="s">
        <v>508</v>
      </c>
      <c r="P15" s="98" t="s">
        <v>479</v>
      </c>
    </row>
    <row r="16" spans="1:16" s="89" customFormat="1" ht="14.4" x14ac:dyDescent="0.3">
      <c r="A16" s="97"/>
      <c r="B16" s="97"/>
      <c r="C16" s="97"/>
      <c r="D16" s="97"/>
      <c r="E16" s="97"/>
      <c r="F16" s="97"/>
      <c r="G16" s="97"/>
      <c r="H16" s="97"/>
      <c r="I16" s="97"/>
      <c r="J16" s="97"/>
      <c r="K16" s="97"/>
      <c r="L16" s="97"/>
      <c r="M16" s="97"/>
      <c r="N16" s="97"/>
      <c r="O16" s="97"/>
      <c r="P16" s="97"/>
    </row>
    <row r="17" spans="1:16" s="89" customFormat="1" ht="14.4" x14ac:dyDescent="0.3">
      <c r="A17" s="97"/>
      <c r="B17" s="97"/>
      <c r="C17" s="97"/>
      <c r="D17" s="97"/>
      <c r="E17" s="97"/>
      <c r="F17" s="97"/>
      <c r="G17" s="97"/>
      <c r="H17" s="97"/>
      <c r="I17" s="97"/>
      <c r="J17" s="97"/>
      <c r="K17" s="97"/>
      <c r="L17" s="97"/>
      <c r="M17" s="97"/>
      <c r="N17" s="97"/>
      <c r="O17" s="97"/>
      <c r="P17" s="97"/>
    </row>
    <row r="18" spans="1:16" s="89" customFormat="1" ht="14.4" x14ac:dyDescent="0.3">
      <c r="A18" s="97"/>
      <c r="B18" s="97"/>
      <c r="C18" s="97"/>
      <c r="D18" s="97"/>
      <c r="E18" s="97"/>
      <c r="F18" s="97"/>
      <c r="G18" s="97"/>
      <c r="H18" s="97"/>
      <c r="I18" s="97"/>
      <c r="J18" s="97"/>
      <c r="K18" s="97"/>
      <c r="L18" s="97"/>
      <c r="M18" s="97"/>
      <c r="N18" s="97"/>
      <c r="O18" s="97"/>
      <c r="P18" s="97"/>
    </row>
    <row r="19" spans="1:16" s="89" customFormat="1" ht="14.4" x14ac:dyDescent="0.3">
      <c r="A19" s="97"/>
      <c r="B19" s="97"/>
      <c r="C19" s="97"/>
      <c r="D19" s="97"/>
      <c r="E19" s="97"/>
      <c r="F19" s="97"/>
      <c r="G19" s="97"/>
      <c r="H19" s="97"/>
      <c r="I19" s="97"/>
      <c r="J19" s="97"/>
      <c r="K19" s="97"/>
      <c r="L19" s="97"/>
      <c r="M19" s="97"/>
      <c r="N19" s="97"/>
      <c r="O19" s="97"/>
      <c r="P19" s="97"/>
    </row>
    <row r="20" spans="1:16" s="89" customFormat="1" ht="14.4" x14ac:dyDescent="0.3">
      <c r="A20" s="97"/>
      <c r="B20" s="97"/>
      <c r="C20" s="97"/>
      <c r="D20" s="97"/>
      <c r="E20" s="97"/>
      <c r="F20" s="97"/>
      <c r="G20" s="97"/>
      <c r="H20" s="97"/>
      <c r="I20" s="97"/>
      <c r="J20" s="97"/>
      <c r="K20" s="97"/>
      <c r="L20" s="97"/>
      <c r="M20" s="97"/>
      <c r="N20" s="97"/>
      <c r="O20" s="97"/>
      <c r="P20" s="97"/>
    </row>
    <row r="21" spans="1:16" s="89" customFormat="1" ht="14.4" x14ac:dyDescent="0.3">
      <c r="A21" s="97"/>
      <c r="B21" s="97"/>
      <c r="C21" s="97"/>
      <c r="D21" s="97"/>
      <c r="E21" s="97"/>
      <c r="F21" s="97"/>
      <c r="G21" s="97"/>
      <c r="H21" s="97"/>
      <c r="I21" s="97"/>
      <c r="J21" s="97"/>
      <c r="K21" s="97"/>
      <c r="L21" s="97"/>
      <c r="M21" s="97"/>
      <c r="N21" s="97"/>
      <c r="O21" s="97"/>
      <c r="P21" s="97"/>
    </row>
    <row r="22" spans="1:16" s="89" customFormat="1" ht="14.4" x14ac:dyDescent="0.3">
      <c r="A22" s="96"/>
      <c r="B22" s="96"/>
      <c r="C22" s="96"/>
      <c r="D22" s="96"/>
      <c r="E22" s="96"/>
      <c r="F22" s="96"/>
      <c r="G22" s="96"/>
      <c r="H22" s="96"/>
      <c r="I22" s="96"/>
      <c r="J22" s="96"/>
      <c r="K22" s="96"/>
      <c r="L22" s="96"/>
      <c r="M22" s="96"/>
      <c r="N22" s="96"/>
      <c r="O22" s="96"/>
      <c r="P22" s="96"/>
    </row>
    <row r="23" spans="1:16" s="89" customFormat="1" ht="14.4" x14ac:dyDescent="0.3">
      <c r="A23" s="96"/>
      <c r="B23" s="96"/>
      <c r="C23" s="96"/>
      <c r="D23" s="96"/>
      <c r="E23" s="96"/>
      <c r="F23" s="96"/>
      <c r="G23" s="96"/>
      <c r="H23" s="96"/>
      <c r="I23" s="96"/>
      <c r="J23" s="96"/>
      <c r="K23" s="96"/>
      <c r="L23" s="96"/>
      <c r="M23" s="96"/>
      <c r="N23" s="96"/>
      <c r="O23" s="96"/>
      <c r="P23" s="96"/>
    </row>
    <row r="24" spans="1:16" s="89" customFormat="1" ht="14.4" x14ac:dyDescent="0.3">
      <c r="A24" s="96"/>
      <c r="B24" s="96"/>
      <c r="C24" s="96"/>
      <c r="D24" s="96"/>
      <c r="E24" s="96"/>
      <c r="F24" s="96"/>
      <c r="G24" s="96"/>
      <c r="H24" s="96"/>
      <c r="I24" s="96"/>
      <c r="J24" s="96"/>
      <c r="K24" s="96"/>
      <c r="L24" s="96"/>
      <c r="M24" s="96"/>
      <c r="N24" s="96"/>
      <c r="O24" s="96"/>
      <c r="P24" s="96"/>
    </row>
    <row r="25" spans="1:16" s="89" customFormat="1" ht="14.4" x14ac:dyDescent="0.3">
      <c r="A25" s="96"/>
      <c r="B25" s="96"/>
      <c r="C25" s="96"/>
      <c r="D25" s="96"/>
      <c r="E25" s="96"/>
      <c r="F25" s="96"/>
      <c r="G25" s="96"/>
      <c r="H25" s="96"/>
      <c r="I25" s="96"/>
      <c r="J25" s="96"/>
      <c r="K25" s="96"/>
      <c r="L25" s="96"/>
      <c r="M25" s="96"/>
      <c r="N25" s="96"/>
      <c r="O25" s="96"/>
      <c r="P25" s="96"/>
    </row>
    <row r="26" spans="1:16" s="89" customFormat="1" ht="14.4" x14ac:dyDescent="0.3">
      <c r="A26" s="90"/>
      <c r="B26" s="90"/>
      <c r="C26" s="90"/>
      <c r="D26" s="90"/>
      <c r="E26" s="90"/>
      <c r="F26" s="90"/>
      <c r="G26" s="90"/>
      <c r="H26" s="90"/>
      <c r="I26" s="90"/>
      <c r="J26" s="90"/>
      <c r="K26" s="90"/>
      <c r="L26" s="90"/>
      <c r="M26" s="90"/>
      <c r="N26" s="90"/>
      <c r="O26" s="90"/>
      <c r="P26" s="90"/>
    </row>
    <row r="27" spans="1:16" s="89" customFormat="1" ht="14.4" x14ac:dyDescent="0.3">
      <c r="A27" s="90"/>
      <c r="B27" s="90"/>
      <c r="C27" s="90"/>
      <c r="D27" s="90"/>
      <c r="E27" s="90"/>
      <c r="F27" s="90"/>
      <c r="G27" s="90"/>
      <c r="H27" s="90"/>
      <c r="I27" s="90"/>
      <c r="J27" s="90"/>
      <c r="K27" s="90"/>
      <c r="L27" s="90"/>
      <c r="M27" s="90"/>
      <c r="N27" s="90"/>
      <c r="O27" s="90"/>
      <c r="P27" s="90"/>
    </row>
    <row r="28" spans="1:16" s="89" customFormat="1" ht="14.4" x14ac:dyDescent="0.3">
      <c r="A28" s="90"/>
      <c r="B28" s="90"/>
      <c r="C28" s="90"/>
      <c r="D28" s="90"/>
      <c r="E28" s="90"/>
      <c r="F28" s="90"/>
      <c r="G28" s="90"/>
      <c r="H28" s="90"/>
      <c r="I28" s="90"/>
      <c r="J28" s="90"/>
      <c r="K28" s="90"/>
      <c r="L28" s="90"/>
      <c r="M28" s="90"/>
      <c r="N28" s="90"/>
      <c r="O28" s="90"/>
      <c r="P28" s="90"/>
    </row>
    <row r="29" spans="1:16" s="89" customFormat="1" ht="14.4" x14ac:dyDescent="0.3">
      <c r="A29" s="90"/>
      <c r="B29" s="90"/>
      <c r="C29" s="90"/>
      <c r="D29" s="90"/>
      <c r="E29" s="90"/>
      <c r="F29" s="90"/>
      <c r="G29" s="90"/>
      <c r="H29" s="90"/>
      <c r="I29" s="90"/>
      <c r="J29" s="90"/>
      <c r="K29" s="90"/>
      <c r="L29" s="90"/>
      <c r="M29" s="90"/>
      <c r="N29" s="90"/>
      <c r="O29" s="90"/>
      <c r="P29" s="90"/>
    </row>
    <row r="30" spans="1:16" s="89" customFormat="1" ht="14.4" x14ac:dyDescent="0.3">
      <c r="A30" s="90"/>
      <c r="B30" s="90"/>
      <c r="C30" s="90"/>
      <c r="D30" s="90"/>
      <c r="E30" s="90"/>
      <c r="F30" s="90"/>
      <c r="G30" s="90"/>
      <c r="H30" s="90"/>
      <c r="I30" s="90"/>
      <c r="J30" s="90"/>
      <c r="K30" s="90"/>
      <c r="L30" s="90"/>
      <c r="M30" s="90"/>
      <c r="N30" s="90"/>
      <c r="O30" s="90"/>
      <c r="P30" s="90"/>
    </row>
    <row r="31" spans="1:16" s="89" customFormat="1" ht="14.4" x14ac:dyDescent="0.3">
      <c r="A31" s="90"/>
      <c r="B31" s="90"/>
      <c r="C31" s="90"/>
      <c r="D31" s="90"/>
      <c r="E31" s="90"/>
      <c r="F31" s="90"/>
      <c r="G31" s="90"/>
      <c r="H31" s="90"/>
      <c r="I31" s="90"/>
      <c r="J31" s="90"/>
      <c r="K31" s="90"/>
      <c r="L31" s="90"/>
      <c r="M31" s="90"/>
      <c r="N31" s="90"/>
      <c r="O31" s="90"/>
      <c r="P31" s="90"/>
    </row>
    <row r="32" spans="1:16" s="89" customFormat="1" ht="14.4" x14ac:dyDescent="0.3">
      <c r="A32" s="90"/>
      <c r="B32" s="90"/>
      <c r="C32" s="90"/>
      <c r="D32" s="90"/>
      <c r="E32" s="90"/>
      <c r="F32" s="90"/>
      <c r="G32" s="90"/>
      <c r="H32" s="90"/>
      <c r="I32" s="90"/>
      <c r="J32" s="90"/>
      <c r="K32" s="90"/>
      <c r="L32" s="90"/>
      <c r="M32" s="90"/>
      <c r="N32" s="90"/>
      <c r="O32" s="90"/>
      <c r="P32" s="90"/>
    </row>
  </sheetData>
  <sheetProtection password="CCDB" sheet="1" objects="1" scenarios="1"/>
  <mergeCells count="2">
    <mergeCell ref="A10:D10"/>
    <mergeCell ref="E10:G10"/>
  </mergeCells>
  <dataValidations count="1">
    <dataValidation type="list" allowBlank="1" showInputMessage="1" showErrorMessage="1" sqref="G13:G15" xr:uid="{00000000-0002-0000-1F00-000000000000}">
      <formula1>"Cualitativo, Cuantitativo"</formula1>
    </dataValidation>
  </dataValidations>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F00-000001000000}">
          <x14:formula1>
            <xm:f>TABLAS!$A$55:$A$57</xm:f>
          </x14:formula1>
          <xm:sqref>N13:N14</xm:sqref>
        </x14:dataValidation>
        <x14:dataValidation type="list" allowBlank="1" showInputMessage="1" showErrorMessage="1" xr:uid="{00000000-0002-0000-1F00-000002000000}">
          <x14:formula1>
            <xm:f>TABLAS!$A$44:$A$52</xm:f>
          </x14:formula1>
          <xm:sqref>K13:K15</xm:sqref>
        </x14:dataValidation>
        <x14:dataValidation type="list" allowBlank="1" showInputMessage="1" showErrorMessage="1" xr:uid="{00000000-0002-0000-1F00-000003000000}">
          <x14:formula1>
            <xm:f>TABLAS!$B$44:$B$51</xm:f>
          </x14:formula1>
          <xm:sqref>L13:L15</xm:sqref>
        </x14:dataValidation>
        <x14:dataValidation type="list" allowBlank="1" showInputMessage="1" showErrorMessage="1" xr:uid="{00000000-0002-0000-1F00-000004000000}">
          <x14:formula1>
            <xm:f>TABLAS!$A$60:$A$72</xm:f>
          </x14:formula1>
          <xm:sqref>M13:M15</xm:sqref>
        </x14:dataValidation>
        <x14:dataValidation type="list" allowBlank="1" showInputMessage="1" showErrorMessage="1" xr:uid="{00000000-0002-0000-1F00-000005000000}">
          <x14:formula1>
            <xm:f>TABLAS!$A$75:$A$83</xm:f>
          </x14:formula1>
          <xm:sqref>P13:P15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0:AG22"/>
  <sheetViews>
    <sheetView view="pageBreakPreview" topLeftCell="U1" zoomScale="60" zoomScaleNormal="110" workbookViewId="0">
      <selection activeCell="AF20" sqref="AF20"/>
    </sheetView>
  </sheetViews>
  <sheetFormatPr baseColWidth="10" defaultColWidth="11.44140625" defaultRowHeight="15.6" x14ac:dyDescent="0.3"/>
  <cols>
    <col min="1" max="1" width="10.33203125" style="25" customWidth="1"/>
    <col min="2" max="2" width="24" style="25" bestFit="1" customWidth="1"/>
    <col min="3" max="5" width="24" style="25" customWidth="1"/>
    <col min="6" max="6" width="17.5546875" style="25" customWidth="1"/>
    <col min="7" max="7" width="16.5546875" style="25" customWidth="1"/>
    <col min="8" max="8" width="15.109375" style="25" customWidth="1"/>
    <col min="9" max="9" width="33.6640625" style="25" customWidth="1"/>
    <col min="10" max="10" width="18.44140625" style="25" customWidth="1"/>
    <col min="11" max="11" width="14.88671875" style="25" hidden="1" customWidth="1"/>
    <col min="12" max="12" width="14.88671875" style="25" customWidth="1"/>
    <col min="13" max="13" width="14.88671875" style="25" hidden="1" customWidth="1"/>
    <col min="14" max="14" width="17.109375" style="25" customWidth="1"/>
    <col min="15" max="15" width="14.88671875" style="25" hidden="1" customWidth="1"/>
    <col min="16" max="16" width="14.88671875" style="25" customWidth="1"/>
    <col min="17" max="17" width="14.88671875" style="25" hidden="1" customWidth="1"/>
    <col min="18" max="18" width="14.88671875" style="25" customWidth="1"/>
    <col min="19" max="19" width="14.88671875" style="25" hidden="1" customWidth="1"/>
    <col min="20" max="20" width="14.88671875" style="25" customWidth="1"/>
    <col min="21" max="21" width="19" style="25" customWidth="1"/>
    <col min="22" max="22" width="13.44140625" style="25" customWidth="1"/>
    <col min="23" max="23" width="19.88671875" style="25" customWidth="1"/>
    <col min="24" max="24" width="19.44140625" style="25" customWidth="1"/>
    <col min="25" max="25" width="17.6640625" style="25" customWidth="1"/>
    <col min="26" max="26" width="15.5546875" style="25" customWidth="1"/>
    <col min="27" max="27" width="19.33203125" style="25" customWidth="1"/>
    <col min="28" max="30" width="11.44140625" style="25" customWidth="1"/>
    <col min="31" max="31" width="13.109375" style="25" customWidth="1"/>
    <col min="32" max="33" width="11.44140625" style="25" customWidth="1"/>
    <col min="34" max="16384" width="11.44140625" style="25"/>
  </cols>
  <sheetData>
    <row r="10" spans="1:33" ht="23.4" x14ac:dyDescent="0.3">
      <c r="A10" s="201" t="s">
        <v>343</v>
      </c>
      <c r="B10" s="201"/>
      <c r="C10" s="201"/>
      <c r="D10" s="201"/>
      <c r="E10" s="202" t="s">
        <v>346</v>
      </c>
      <c r="F10" s="202"/>
      <c r="G10" s="202"/>
    </row>
    <row r="12" spans="1:33" s="5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58" customFormat="1" ht="32.25" customHeight="1" x14ac:dyDescent="0.3">
      <c r="A13" s="209"/>
      <c r="B13" s="204"/>
      <c r="C13" s="205"/>
      <c r="D13" s="205"/>
      <c r="E13" s="205"/>
      <c r="F13" s="185" t="s">
        <v>110</v>
      </c>
      <c r="G13" s="185"/>
      <c r="H13" s="56"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58" customFormat="1" ht="72.75" customHeight="1" x14ac:dyDescent="0.3">
      <c r="A14" s="210"/>
      <c r="B14" s="57" t="s">
        <v>178</v>
      </c>
      <c r="C14" s="57" t="s">
        <v>172</v>
      </c>
      <c r="D14" s="28" t="s">
        <v>373</v>
      </c>
      <c r="E14" s="28" t="s">
        <v>372</v>
      </c>
      <c r="F14" s="56" t="s">
        <v>2</v>
      </c>
      <c r="G14" s="56" t="s">
        <v>3</v>
      </c>
      <c r="H14" s="56" t="s">
        <v>4</v>
      </c>
      <c r="I14" s="56" t="s">
        <v>5</v>
      </c>
      <c r="J14" s="56" t="s">
        <v>66</v>
      </c>
      <c r="K14" s="56" t="s">
        <v>90</v>
      </c>
      <c r="L14" s="56" t="s">
        <v>91</v>
      </c>
      <c r="M14" s="56" t="s">
        <v>90</v>
      </c>
      <c r="N14" s="56" t="s">
        <v>92</v>
      </c>
      <c r="O14" s="56" t="s">
        <v>90</v>
      </c>
      <c r="P14" s="56" t="s">
        <v>93</v>
      </c>
      <c r="Q14" s="56" t="s">
        <v>90</v>
      </c>
      <c r="R14" s="56" t="s">
        <v>94</v>
      </c>
      <c r="S14" s="56" t="s">
        <v>90</v>
      </c>
      <c r="T14" s="56" t="s">
        <v>110</v>
      </c>
      <c r="U14" s="28" t="s">
        <v>6</v>
      </c>
      <c r="V14" s="28" t="s">
        <v>7</v>
      </c>
      <c r="W14" s="28" t="s">
        <v>15</v>
      </c>
      <c r="X14" s="185"/>
      <c r="Y14" s="185"/>
      <c r="Z14" s="185"/>
      <c r="AA14" s="185"/>
      <c r="AB14" s="41" t="s">
        <v>10</v>
      </c>
      <c r="AC14" s="41" t="s">
        <v>11</v>
      </c>
      <c r="AD14" s="41" t="s">
        <v>12</v>
      </c>
      <c r="AE14" s="41" t="s">
        <v>11</v>
      </c>
      <c r="AF14" s="41" t="s">
        <v>13</v>
      </c>
      <c r="AG14" s="41" t="s">
        <v>11</v>
      </c>
    </row>
    <row r="15" spans="1:33" ht="94.5" customHeight="1" x14ac:dyDescent="0.3">
      <c r="A15" s="211">
        <v>1</v>
      </c>
      <c r="B15" s="213" t="s">
        <v>237</v>
      </c>
      <c r="C15" s="26" t="s">
        <v>231</v>
      </c>
      <c r="D15" s="26" t="s">
        <v>203</v>
      </c>
      <c r="E15" s="26" t="s">
        <v>385</v>
      </c>
      <c r="F15" s="24">
        <v>2</v>
      </c>
      <c r="G15" s="24" t="s">
        <v>53</v>
      </c>
      <c r="H15" s="24" t="str">
        <f>INDEX(TABLAS!$B$14:$F$18,MATCH(F15,TABLAS!$A$14:$A$18,0),MATCH(G15,TABLAS!$B$13:$F$13,0))</f>
        <v>A</v>
      </c>
      <c r="I15" s="26" t="s">
        <v>643</v>
      </c>
      <c r="J15" s="27" t="s">
        <v>106</v>
      </c>
      <c r="K15" s="27">
        <f>IF(J15="","",VLOOKUP(J15,TABLAS!$A$30:$B$32,2,0))</f>
        <v>2</v>
      </c>
      <c r="L15" s="27" t="s">
        <v>65</v>
      </c>
      <c r="M15" s="27">
        <f>IF(L15="","",VLOOKUP(L15,TABLAS!$C$30:$D$33,2,0))</f>
        <v>3</v>
      </c>
      <c r="N15" s="27" t="s">
        <v>76</v>
      </c>
      <c r="O15" s="27">
        <f>+IF(N15="","",VLOOKUP(N15,TABLAS!$E$30:$F$33,2,0))</f>
        <v>3</v>
      </c>
      <c r="P15" s="27" t="s">
        <v>81</v>
      </c>
      <c r="Q15" s="27">
        <f>+IF(P15="","",VLOOKUP(P15,TABLAS!$G$30:$H$33,2,0))</f>
        <v>3</v>
      </c>
      <c r="R15" s="27" t="s">
        <v>87</v>
      </c>
      <c r="S15" s="27">
        <f>+IF(R15="","",VLOOKUP(R15,TABLAS!$I$30:$J$33,2,0))</f>
        <v>3</v>
      </c>
      <c r="T15" s="27">
        <f>IFERROR(K15*25%+M15*10%+O15*25%+Q15*20%+S15*20%,0)</f>
        <v>2.7500000000000004</v>
      </c>
      <c r="U15" s="24">
        <f>+IF(T15&gt;=TABLAS!$A$39,F15-TABLAS!$C$39,F15)</f>
        <v>1</v>
      </c>
      <c r="V15" s="24" t="s">
        <v>51</v>
      </c>
      <c r="W15" s="24" t="str">
        <f>INDEX(TABLAS!$B$14:$F$18,MATCH(U15,TABLAS!$A$14:$A$18,0),MATCH(V15,TABLAS!$B$13:$F$13,0))</f>
        <v>B</v>
      </c>
      <c r="X15" s="26" t="str">
        <f>+VLOOKUP(W15,TABLAS!$A$22:$B$25,2,0)</f>
        <v>Asumir y monitoreo</v>
      </c>
      <c r="Y15" s="26" t="s">
        <v>103</v>
      </c>
      <c r="Z15" s="26" t="s">
        <v>147</v>
      </c>
      <c r="AA15" s="26" t="s">
        <v>117</v>
      </c>
      <c r="AB15" s="24" t="s">
        <v>36</v>
      </c>
      <c r="AC15" s="24"/>
      <c r="AD15" s="24" t="s">
        <v>36</v>
      </c>
      <c r="AE15" s="24"/>
      <c r="AF15" s="24" t="s">
        <v>36</v>
      </c>
      <c r="AG15" s="24"/>
    </row>
    <row r="16" spans="1:33" ht="78" x14ac:dyDescent="0.3">
      <c r="A16" s="212"/>
      <c r="B16" s="214"/>
      <c r="C16" s="26" t="s">
        <v>238</v>
      </c>
      <c r="D16" s="26" t="s">
        <v>378</v>
      </c>
      <c r="E16" s="26" t="s">
        <v>385</v>
      </c>
      <c r="F16" s="24">
        <v>2</v>
      </c>
      <c r="G16" s="24" t="s">
        <v>53</v>
      </c>
      <c r="H16" s="24" t="str">
        <f>INDEX(TABLAS!$B$14:$F$18,MATCH(F16,TABLAS!$A$14:$A$18,0),MATCH(G16,TABLAS!$B$13:$F$13,0))</f>
        <v>A</v>
      </c>
      <c r="I16" s="26" t="s">
        <v>142</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87</v>
      </c>
      <c r="S16" s="27">
        <f>+IF(R16="","",VLOOKUP(R16,TABLAS!$I$30:$J$33,2,0))</f>
        <v>3</v>
      </c>
      <c r="T16" s="27">
        <f>IFERROR(K16*25%+M16*10%+O16*25%+Q16*20%+S16*20%,0)</f>
        <v>2.5</v>
      </c>
      <c r="U16" s="24">
        <f>+IF(T16&gt;=TABLAS!$A$39,F16-TABLAS!$C$39,F16)</f>
        <v>1</v>
      </c>
      <c r="V16" s="24" t="s">
        <v>51</v>
      </c>
      <c r="W16" s="24" t="str">
        <f>INDEX(TABLAS!$B$14:$F$18,MATCH(U16,TABLAS!$A$14:$A$18,0),MATCH(V16,TABLAS!$B$13:$F$13,0))</f>
        <v>B</v>
      </c>
      <c r="X16" s="26" t="str">
        <f>+VLOOKUP(W16,TABLAS!$A$22:$B$25,2,0)</f>
        <v>Asumir y monitoreo</v>
      </c>
      <c r="Y16" s="26" t="s">
        <v>103</v>
      </c>
      <c r="Z16" s="26" t="s">
        <v>140</v>
      </c>
      <c r="AA16" s="26" t="s">
        <v>141</v>
      </c>
      <c r="AB16" s="24" t="s">
        <v>36</v>
      </c>
      <c r="AC16" s="24"/>
      <c r="AD16" s="24" t="s">
        <v>36</v>
      </c>
      <c r="AE16" s="24"/>
      <c r="AF16" s="24" t="s">
        <v>36</v>
      </c>
      <c r="AG16" s="24"/>
    </row>
    <row r="17" spans="1:33" ht="93.6" x14ac:dyDescent="0.3">
      <c r="A17" s="43">
        <v>2</v>
      </c>
      <c r="B17" s="26" t="s">
        <v>243</v>
      </c>
      <c r="C17" s="26" t="s">
        <v>244</v>
      </c>
      <c r="D17" s="26" t="s">
        <v>203</v>
      </c>
      <c r="E17" s="26" t="s">
        <v>385</v>
      </c>
      <c r="F17" s="24">
        <v>4</v>
      </c>
      <c r="G17" s="24" t="s">
        <v>52</v>
      </c>
      <c r="H17" s="24" t="str">
        <f>INDEX(TABLAS!$B$14:$F$18,MATCH(F17,TABLAS!$A$14:$A$18,0),MATCH(G17,TABLAS!$B$13:$F$13,0))</f>
        <v>A</v>
      </c>
      <c r="I17" s="26" t="s">
        <v>32</v>
      </c>
      <c r="J17" s="27" t="s">
        <v>69</v>
      </c>
      <c r="K17" s="27">
        <f>IF(J17="","",VLOOKUP(J17,TABLAS!$A$30:$B$32,2,0))</f>
        <v>1</v>
      </c>
      <c r="L17" s="27" t="s">
        <v>72</v>
      </c>
      <c r="M17" s="27">
        <f>IF(L17="","",VLOOKUP(L17,TABLAS!$C$30:$D$33,2,0))</f>
        <v>2</v>
      </c>
      <c r="N17" s="27" t="s">
        <v>76</v>
      </c>
      <c r="O17" s="27">
        <f>+IF(N17="","",VLOOKUP(N17,TABLAS!$E$30:$F$33,2,0))</f>
        <v>3</v>
      </c>
      <c r="P17" s="27" t="s">
        <v>83</v>
      </c>
      <c r="Q17" s="27">
        <f>+IF(P17="","",VLOOKUP(P17,TABLAS!$G$30:$H$33,2,0))</f>
        <v>1</v>
      </c>
      <c r="R17" s="27" t="s">
        <v>88</v>
      </c>
      <c r="S17" s="27">
        <f>+IF(R17="","",VLOOKUP(R17,TABLAS!$I$30:$J$33,2,0))</f>
        <v>2</v>
      </c>
      <c r="T17" s="27">
        <f>IFERROR(K17*25%+M17*10%+O17*25%+Q17*20%+S17*20%,0)</f>
        <v>1.7999999999999998</v>
      </c>
      <c r="U17" s="24">
        <f>+IF(T17&gt;=TABLAS!$A$39,F17-TABLAS!$C$39,F17)</f>
        <v>4</v>
      </c>
      <c r="V17" s="24" t="s">
        <v>52</v>
      </c>
      <c r="W17" s="24" t="str">
        <f>INDEX(TABLAS!$B$14:$F$18,MATCH(U17,TABLAS!$A$14:$A$18,0),MATCH(V17,TABLAS!$B$13:$F$13,0))</f>
        <v>A</v>
      </c>
      <c r="X17" s="26" t="str">
        <f>+VLOOKUP(W17,TABLAS!$A$22:$B$25,2,0)</f>
        <v>Plan de Acción para mitigar, evitar, compartir o transferir el riesgo.</v>
      </c>
      <c r="Y17" s="26" t="s">
        <v>33</v>
      </c>
      <c r="Z17" s="26" t="s">
        <v>144</v>
      </c>
      <c r="AA17" s="29">
        <v>43952</v>
      </c>
      <c r="AB17" s="24" t="s">
        <v>36</v>
      </c>
      <c r="AC17" s="24"/>
      <c r="AD17" s="24" t="s">
        <v>36</v>
      </c>
      <c r="AE17" s="92" t="s">
        <v>644</v>
      </c>
      <c r="AF17" s="24" t="s">
        <v>36</v>
      </c>
      <c r="AG17" s="24"/>
    </row>
    <row r="18" spans="1:33" ht="125.25" customHeight="1" x14ac:dyDescent="0.3">
      <c r="A18" s="43">
        <v>3</v>
      </c>
      <c r="B18" s="26" t="s">
        <v>305</v>
      </c>
      <c r="C18" s="26" t="s">
        <v>306</v>
      </c>
      <c r="D18" s="26" t="s">
        <v>203</v>
      </c>
      <c r="E18" s="26" t="s">
        <v>385</v>
      </c>
      <c r="F18" s="24">
        <v>2</v>
      </c>
      <c r="G18" s="24" t="s">
        <v>52</v>
      </c>
      <c r="H18" s="24" t="str">
        <f>INDEX(TABLAS!$B$14:$F$18,MATCH(F18,TABLAS!$A$14:$A$18,0),MATCH(G18,TABLAS!$B$13:$F$13,0))</f>
        <v>M</v>
      </c>
      <c r="I18" s="26" t="s">
        <v>304</v>
      </c>
      <c r="J18" s="27" t="s">
        <v>69</v>
      </c>
      <c r="K18" s="27">
        <f>IF(J18="","",VLOOKUP(J18,TABLAS!$A$30:$B$32,2,0))</f>
        <v>1</v>
      </c>
      <c r="L18" s="27" t="s">
        <v>72</v>
      </c>
      <c r="M18" s="27">
        <f>IF(L18="","",VLOOKUP(L18,TABLAS!$C$30:$D$33,2,0))</f>
        <v>2</v>
      </c>
      <c r="N18" s="27" t="s">
        <v>77</v>
      </c>
      <c r="O18" s="27">
        <f>+IF(N18="","",VLOOKUP(N18,TABLAS!$E$30:$F$33,2,0))</f>
        <v>2</v>
      </c>
      <c r="P18" s="27" t="s">
        <v>83</v>
      </c>
      <c r="Q18" s="27">
        <f>+IF(P18="","",VLOOKUP(P18,TABLAS!$G$30:$H$33,2,0))</f>
        <v>1</v>
      </c>
      <c r="R18" s="27" t="s">
        <v>88</v>
      </c>
      <c r="S18" s="27">
        <f>+IF(R18="","",VLOOKUP(R18,TABLAS!$I$30:$J$33,2,0))</f>
        <v>2</v>
      </c>
      <c r="T18" s="27">
        <f>IFERROR(K18*25%+M18*10%+O18*25%+Q18*20%+S18*20%,0)</f>
        <v>1.5499999999999998</v>
      </c>
      <c r="U18" s="24">
        <f>+IF(T18&gt;=TABLAS!$A$39,F18-TABLAS!$C$39,F18)</f>
        <v>2</v>
      </c>
      <c r="V18" s="24" t="s">
        <v>52</v>
      </c>
      <c r="W18" s="24" t="str">
        <f>INDEX(TABLAS!$B$14:$F$18,MATCH(U18,TABLAS!$A$14:$A$18,0),MATCH(V18,TABLAS!$B$13:$F$13,0))</f>
        <v>M</v>
      </c>
      <c r="X18" s="26" t="str">
        <f>+VLOOKUP(W18,TABLAS!$A$22:$B$25,2,0)</f>
        <v>Asumir, mitigar el riesgo</v>
      </c>
      <c r="Y18" s="26"/>
      <c r="Z18" s="26" t="s">
        <v>144</v>
      </c>
      <c r="AA18" s="26" t="s">
        <v>301</v>
      </c>
      <c r="AB18" s="24" t="s">
        <v>36</v>
      </c>
      <c r="AC18" s="24"/>
      <c r="AD18" s="24" t="s">
        <v>36</v>
      </c>
      <c r="AE18" s="24"/>
      <c r="AF18" s="24" t="s">
        <v>36</v>
      </c>
      <c r="AG18" s="24"/>
    </row>
    <row r="20" spans="1:33" ht="23.4" x14ac:dyDescent="0.3">
      <c r="A20" s="201" t="s">
        <v>587</v>
      </c>
      <c r="B20" s="201"/>
      <c r="C20" s="201"/>
      <c r="D20" s="201"/>
      <c r="E20" s="206" t="s">
        <v>592</v>
      </c>
      <c r="F20" s="206"/>
      <c r="G20" s="206"/>
      <c r="H20" s="206"/>
      <c r="I20" s="206"/>
    </row>
    <row r="21" spans="1:33" ht="6.75" customHeight="1" x14ac:dyDescent="0.3">
      <c r="E21" s="145"/>
      <c r="F21" s="145"/>
      <c r="G21" s="145"/>
      <c r="H21" s="145"/>
      <c r="I21" s="145"/>
    </row>
    <row r="22" spans="1:33" ht="23.4" x14ac:dyDescent="0.3">
      <c r="A22" s="201" t="s">
        <v>588</v>
      </c>
      <c r="B22" s="201"/>
      <c r="C22" s="201"/>
      <c r="D22" s="201"/>
      <c r="E22" s="206" t="s">
        <v>589</v>
      </c>
      <c r="F22" s="206"/>
      <c r="G22" s="206"/>
      <c r="H22" s="206"/>
      <c r="I22" s="206"/>
    </row>
  </sheetData>
  <mergeCells count="21">
    <mergeCell ref="A10:D10"/>
    <mergeCell ref="E10:G10"/>
    <mergeCell ref="A20:D20"/>
    <mergeCell ref="E20:I20"/>
    <mergeCell ref="A22:D22"/>
    <mergeCell ref="E22:I22"/>
    <mergeCell ref="A15:A16"/>
    <mergeCell ref="B15:B16"/>
    <mergeCell ref="A12:A14"/>
    <mergeCell ref="B12:E13"/>
    <mergeCell ref="W12:W13"/>
    <mergeCell ref="X12:AA12"/>
    <mergeCell ref="AB12:AG13"/>
    <mergeCell ref="F13:G13"/>
    <mergeCell ref="X13:X14"/>
    <mergeCell ref="Y13:Y14"/>
    <mergeCell ref="Z13:Z14"/>
    <mergeCell ref="AA13:AA14"/>
    <mergeCell ref="F12:H12"/>
    <mergeCell ref="I12:T13"/>
    <mergeCell ref="U12:V13"/>
  </mergeCells>
  <conditionalFormatting sqref="W15:W18 H15:H18">
    <cfRule type="expression" dxfId="99" priority="1" stopIfTrue="1">
      <formula>H15="E"</formula>
    </cfRule>
    <cfRule type="expression" dxfId="98" priority="2" stopIfTrue="1">
      <formula>H15="M"</formula>
    </cfRule>
    <cfRule type="expression" dxfId="97" priority="3" stopIfTrue="1">
      <formula>H15="B"</formula>
    </cfRule>
    <cfRule type="expression" dxfId="96" priority="4" stopIfTrue="1">
      <formula>H15="A"</formula>
    </cfRule>
  </conditionalFormatting>
  <pageMargins left="0.70866141732283472" right="0.70866141732283472" top="0.74803149606299213" bottom="0.74803149606299213" header="0.31496062992125984" footer="0.31496062992125984"/>
  <pageSetup paperSize="9" scale="63" orientation="landscape" r:id="rId1"/>
  <colBreaks count="1" manualBreakCount="1">
    <brk id="20" max="21"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TABLAS!$A$30:$A$32</xm:f>
          </x14:formula1>
          <xm:sqref>J15:J18</xm:sqref>
        </x14:dataValidation>
        <x14:dataValidation type="list" allowBlank="1" showInputMessage="1" showErrorMessage="1" xr:uid="{00000000-0002-0000-0300-000001000000}">
          <x14:formula1>
            <xm:f>TABLAS!$C$30:$C$33</xm:f>
          </x14:formula1>
          <xm:sqref>L15:L18</xm:sqref>
        </x14:dataValidation>
        <x14:dataValidation type="list" allowBlank="1" showInputMessage="1" showErrorMessage="1" xr:uid="{00000000-0002-0000-0300-000002000000}">
          <x14:formula1>
            <xm:f>TABLAS!$E$30:$E$33</xm:f>
          </x14:formula1>
          <xm:sqref>N15:N18</xm:sqref>
        </x14:dataValidation>
        <x14:dataValidation type="list" allowBlank="1" showInputMessage="1" showErrorMessage="1" xr:uid="{00000000-0002-0000-0300-000003000000}">
          <x14:formula1>
            <xm:f>TABLAS!$G$30:$G$33</xm:f>
          </x14:formula1>
          <xm:sqref>P15:P18</xm:sqref>
        </x14:dataValidation>
        <x14:dataValidation type="list" allowBlank="1" showInputMessage="1" showErrorMessage="1" xr:uid="{00000000-0002-0000-0300-000004000000}">
          <x14:formula1>
            <xm:f>TABLAS!$I$30:$I$33</xm:f>
          </x14:formula1>
          <xm:sqref>R15:R18</xm:sqref>
        </x14:dataValidation>
        <x14:dataValidation type="list" allowBlank="1" showInputMessage="1" showErrorMessage="1" xr:uid="{00000000-0002-0000-0300-000005000000}">
          <x14:formula1>
            <xm:f>TABLAS!$B$13:$F$13</xm:f>
          </x14:formula1>
          <xm:sqref>G15:G18 V15:V18</xm:sqref>
        </x14:dataValidation>
        <x14:dataValidation type="list" allowBlank="1" showInputMessage="1" showErrorMessage="1" xr:uid="{00000000-0002-0000-0300-000006000000}">
          <x14:formula1>
            <xm:f>TABLAS!$A$14:$A$18</xm:f>
          </x14:formula1>
          <xm:sqref>F15:F18</xm:sqref>
        </x14:dataValidation>
        <x14:dataValidation type="list" allowBlank="1" showInputMessage="1" showErrorMessage="1" xr:uid="{00000000-0002-0000-0300-000007000000}">
          <x14:formula1>
            <xm:f>TABLAS!$A$44:$A$52</xm:f>
          </x14:formula1>
          <xm:sqref>D15:D18</xm:sqref>
        </x14:dataValidation>
        <x14:dataValidation type="list" allowBlank="1" showInputMessage="1" showErrorMessage="1" xr:uid="{00000000-0002-0000-0300-000008000000}">
          <x14:formula1>
            <xm:f>TABLAS!$B$44:$B$52</xm:f>
          </x14:formula1>
          <xm:sqref>E15:E18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0:S29"/>
  <sheetViews>
    <sheetView view="pageBreakPreview" topLeftCell="A16" zoomScale="60" zoomScaleNormal="90" workbookViewId="0">
      <selection activeCell="E27" sqref="E27:I27"/>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346</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28.8" x14ac:dyDescent="0.3">
      <c r="A13" s="153" t="s">
        <v>555</v>
      </c>
      <c r="B13" s="126" t="s">
        <v>33</v>
      </c>
      <c r="C13" s="146" t="s">
        <v>468</v>
      </c>
      <c r="D13" s="146" t="s">
        <v>470</v>
      </c>
      <c r="E13" s="139">
        <v>43466</v>
      </c>
      <c r="F13" s="139">
        <v>43617</v>
      </c>
      <c r="G13" s="126" t="s">
        <v>480</v>
      </c>
      <c r="H13" s="126"/>
      <c r="I13" s="126"/>
    </row>
    <row r="14" spans="1:9" s="89" customFormat="1" ht="14.4" x14ac:dyDescent="0.3">
      <c r="A14" s="126"/>
      <c r="B14" s="126"/>
      <c r="C14" s="126"/>
      <c r="D14" s="12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46"/>
      <c r="D20" s="126"/>
      <c r="E20" s="139"/>
      <c r="F20" s="139"/>
      <c r="G20" s="126"/>
      <c r="H20" s="126"/>
      <c r="I20" s="126"/>
    </row>
    <row r="21" spans="1:9" s="89" customFormat="1" ht="14.4" x14ac:dyDescent="0.3">
      <c r="A21" s="126"/>
      <c r="B21" s="126"/>
      <c r="C21" s="126"/>
      <c r="D21" s="126"/>
      <c r="E21" s="139"/>
      <c r="F21" s="139"/>
      <c r="G21" s="126"/>
      <c r="H21" s="126"/>
      <c r="I21" s="126"/>
    </row>
    <row r="22" spans="1:9" s="89" customFormat="1" ht="14.4" x14ac:dyDescent="0.3">
      <c r="A22" s="126"/>
      <c r="B22" s="126"/>
      <c r="C22" s="126"/>
      <c r="D22" s="126"/>
      <c r="E22" s="139"/>
      <c r="F22" s="126"/>
      <c r="G22" s="126"/>
      <c r="H22" s="126"/>
      <c r="I22" s="126"/>
    </row>
    <row r="23" spans="1:9" s="89" customFormat="1" ht="14.4" x14ac:dyDescent="0.3">
      <c r="A23" s="126"/>
      <c r="B23" s="126"/>
      <c r="C23" s="126"/>
      <c r="D23" s="126"/>
      <c r="E23" s="139"/>
      <c r="F23" s="126"/>
      <c r="G23" s="126"/>
      <c r="H23" s="126"/>
      <c r="I23" s="126"/>
    </row>
    <row r="24" spans="1:9" s="89" customFormat="1" ht="14.4" x14ac:dyDescent="0.3">
      <c r="A24" s="126"/>
      <c r="B24" s="126"/>
      <c r="C24" s="126"/>
      <c r="D24" s="126"/>
      <c r="E24" s="126"/>
      <c r="F24" s="126"/>
      <c r="G24" s="126"/>
      <c r="H24" s="126"/>
      <c r="I24" s="126"/>
    </row>
    <row r="25" spans="1:9" s="89" customFormat="1" ht="14.4" x14ac:dyDescent="0.3">
      <c r="A25" s="90"/>
      <c r="B25" s="90"/>
      <c r="C25" s="90"/>
      <c r="D25" s="90"/>
      <c r="E25" s="90"/>
      <c r="F25" s="90"/>
      <c r="G25" s="90"/>
      <c r="H25" s="90"/>
      <c r="I25" s="90"/>
    </row>
    <row r="27" spans="1:9" ht="23.4" x14ac:dyDescent="0.3">
      <c r="A27" s="201" t="s">
        <v>590</v>
      </c>
      <c r="B27" s="201"/>
      <c r="C27" s="201"/>
      <c r="D27" s="201"/>
      <c r="E27" s="206" t="s">
        <v>592</v>
      </c>
      <c r="F27" s="206"/>
      <c r="G27" s="206"/>
      <c r="H27" s="206"/>
      <c r="I27" s="206"/>
    </row>
    <row r="28" spans="1:9" ht="6.75" customHeight="1" x14ac:dyDescent="0.3"/>
    <row r="29" spans="1:9" ht="23.4" x14ac:dyDescent="0.3">
      <c r="A29" s="201" t="s">
        <v>591</v>
      </c>
      <c r="B29" s="201"/>
      <c r="C29" s="201"/>
      <c r="D29" s="201"/>
      <c r="E29" s="206" t="s">
        <v>589</v>
      </c>
      <c r="F29" s="206"/>
      <c r="G29" s="206"/>
      <c r="H29" s="206"/>
      <c r="I29" s="206"/>
    </row>
  </sheetData>
  <sheetProtection algorithmName="SHA-512" hashValue="Tge1fnHe9fPokLQJ73e0wLKayRWzNfNMcj5BLJsI9fFfqZK0eZe6JGOwJC8qjE8xf4PgT1e+icGfos/PKkkyOQ==" saltValue="+p5wEx926RvY18YEij4wQg==" spinCount="100000" sheet="1" objects="1" scenarios="1"/>
  <mergeCells count="6">
    <mergeCell ref="A10:D10"/>
    <mergeCell ref="E10:G10"/>
    <mergeCell ref="A27:D27"/>
    <mergeCell ref="E27:I27"/>
    <mergeCell ref="A29:D29"/>
    <mergeCell ref="E29:I29"/>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0:AG24"/>
  <sheetViews>
    <sheetView view="pageBreakPreview" topLeftCell="T14" zoomScale="60" zoomScaleNormal="80" workbookViewId="0">
      <selection activeCell="X27" sqref="X27"/>
    </sheetView>
  </sheetViews>
  <sheetFormatPr baseColWidth="10" defaultColWidth="11.44140625" defaultRowHeight="15.6" x14ac:dyDescent="0.3"/>
  <cols>
    <col min="1" max="1" width="6.44140625" style="25" customWidth="1"/>
    <col min="2" max="2" width="21.6640625" style="25" customWidth="1"/>
    <col min="3" max="3" width="19.6640625" style="25" customWidth="1"/>
    <col min="4" max="4" width="14.6640625" style="25" customWidth="1"/>
    <col min="5" max="5" width="14.33203125" style="25" customWidth="1"/>
    <col min="6" max="6" width="15.5546875" style="25" customWidth="1"/>
    <col min="7" max="7" width="17.44140625" style="25" customWidth="1"/>
    <col min="8" max="8" width="14.88671875" style="25" customWidth="1"/>
    <col min="9" max="9" width="25.109375" style="25" customWidth="1"/>
    <col min="10" max="10" width="14.44140625" style="25" customWidth="1"/>
    <col min="11" max="11" width="23.6640625" style="25" hidden="1" customWidth="1"/>
    <col min="12" max="12" width="14.109375" style="25" customWidth="1"/>
    <col min="13" max="13" width="23.6640625" style="25" hidden="1" customWidth="1"/>
    <col min="14" max="14" width="16.44140625" style="25" customWidth="1"/>
    <col min="15" max="15" width="23.6640625" style="25" hidden="1" customWidth="1"/>
    <col min="16" max="16" width="13.88671875" style="25" customWidth="1"/>
    <col min="17" max="17" width="23.6640625" style="25" hidden="1" customWidth="1"/>
    <col min="18" max="18" width="12" style="25" customWidth="1"/>
    <col min="19" max="19" width="23.6640625" style="25" hidden="1" customWidth="1"/>
    <col min="20" max="20" width="14.88671875" style="25" bestFit="1" customWidth="1"/>
    <col min="21" max="21" width="15.44140625" style="25" customWidth="1"/>
    <col min="22" max="22" width="13.33203125" style="25" customWidth="1"/>
    <col min="23" max="23" width="16.88671875" style="25" customWidth="1"/>
    <col min="24" max="24" width="17.88671875" style="25" customWidth="1"/>
    <col min="25" max="25" width="17.33203125" style="25" customWidth="1"/>
    <col min="26" max="26" width="15.5546875" style="25" customWidth="1"/>
    <col min="27" max="27" width="19.109375" style="25" customWidth="1"/>
    <col min="28" max="33" width="11.44140625" style="25" customWidth="1"/>
    <col min="34" max="16384" width="11.44140625" style="25"/>
  </cols>
  <sheetData>
    <row r="10" spans="1:33" ht="23.4" x14ac:dyDescent="0.3">
      <c r="A10" s="201" t="s">
        <v>343</v>
      </c>
      <c r="B10" s="201"/>
      <c r="C10" s="201"/>
      <c r="D10" s="201"/>
      <c r="E10" s="202" t="s">
        <v>347</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94.5" customHeight="1" x14ac:dyDescent="0.3">
      <c r="A15" s="44" t="s">
        <v>165</v>
      </c>
      <c r="B15" s="34" t="s">
        <v>174</v>
      </c>
      <c r="C15" s="34" t="s">
        <v>173</v>
      </c>
      <c r="D15" s="92" t="s">
        <v>202</v>
      </c>
      <c r="E15" s="92" t="s">
        <v>385</v>
      </c>
      <c r="F15" s="92">
        <v>2</v>
      </c>
      <c r="G15" s="92" t="s">
        <v>52</v>
      </c>
      <c r="H15" s="92" t="str">
        <f>INDEX(TABLAS!$B$14:$F$18,MATCH(F15,TABLAS!$A$14:$A$18,0),MATCH(G15,TABLAS!$B$13:$F$13,0))</f>
        <v>M</v>
      </c>
      <c r="I15" s="92" t="s">
        <v>290</v>
      </c>
      <c r="J15" s="27" t="s">
        <v>69</v>
      </c>
      <c r="K15" s="27">
        <f>IF(J15="","",VLOOKUP(J15,TABLAS!$A$30:$B$32,2,0))</f>
        <v>1</v>
      </c>
      <c r="L15" s="27" t="s">
        <v>65</v>
      </c>
      <c r="M15" s="27">
        <f>IF(L15="","",VLOOKUP(L15,TABLAS!$C$30:$D$33,2,0))</f>
        <v>3</v>
      </c>
      <c r="N15" s="27" t="s">
        <v>76</v>
      </c>
      <c r="O15" s="27">
        <f>+IF(N15="","",VLOOKUP(N15,TABLAS!$E$30:$F$33,2,0))</f>
        <v>3</v>
      </c>
      <c r="P15" s="27" t="s">
        <v>82</v>
      </c>
      <c r="Q15" s="27">
        <f>+IF(P15="","",VLOOKUP(P15,TABLAS!$G$30:$H$33,2,0))</f>
        <v>2</v>
      </c>
      <c r="R15" s="27" t="s">
        <v>88</v>
      </c>
      <c r="S15" s="27">
        <f>+IF(R15="","",VLOOKUP(R15,TABLAS!$I$30:$J$33,2,0))</f>
        <v>2</v>
      </c>
      <c r="T15" s="27">
        <f t="shared" ref="T15:T20" si="0">IFERROR(K15*25%+M15*10%+O15*25%+Q15*20%+S15*20%,0)</f>
        <v>2.1</v>
      </c>
      <c r="U15" s="92">
        <f>+IF(T15&gt;=TABLAS!$A$39,F15-TABLAS!$C$39,F15)</f>
        <v>2</v>
      </c>
      <c r="V15" s="92" t="s">
        <v>51</v>
      </c>
      <c r="W15" s="92" t="str">
        <f>INDEX(TABLAS!$B$14:$F$18,MATCH(U15,TABLAS!$A$14:$A$18,0),MATCH(V15,TABLAS!$B$13:$F$13,0))</f>
        <v>B</v>
      </c>
      <c r="X15" s="92" t="str">
        <f>+VLOOKUP(W15,TABLAS!$A$22:$B$25,2,0)</f>
        <v>Asumir y monitoreo</v>
      </c>
      <c r="Y15" s="92" t="s">
        <v>103</v>
      </c>
      <c r="Z15" s="92" t="s">
        <v>121</v>
      </c>
      <c r="AA15" s="26" t="s">
        <v>117</v>
      </c>
      <c r="AB15" s="24" t="s">
        <v>36</v>
      </c>
      <c r="AC15" s="24"/>
      <c r="AD15" s="24" t="s">
        <v>36</v>
      </c>
      <c r="AE15" s="24"/>
      <c r="AF15" s="24" t="s">
        <v>36</v>
      </c>
      <c r="AG15" s="24"/>
    </row>
    <row r="16" spans="1:33" ht="157.5" customHeight="1" x14ac:dyDescent="0.3">
      <c r="A16" s="44" t="s">
        <v>166</v>
      </c>
      <c r="B16" s="92" t="s">
        <v>175</v>
      </c>
      <c r="C16" s="92" t="s">
        <v>176</v>
      </c>
      <c r="D16" s="92" t="s">
        <v>203</v>
      </c>
      <c r="E16" s="92" t="s">
        <v>385</v>
      </c>
      <c r="F16" s="92">
        <v>3</v>
      </c>
      <c r="G16" s="92" t="s">
        <v>52</v>
      </c>
      <c r="H16" s="92" t="str">
        <f>INDEX(TABLAS!$B$14:$F$18,MATCH(F16,TABLAS!$A$14:$A$18,0),MATCH(G16,TABLAS!$B$13:$F$13,0))</f>
        <v>A</v>
      </c>
      <c r="I16" s="92" t="s">
        <v>122</v>
      </c>
      <c r="J16" s="27" t="s">
        <v>69</v>
      </c>
      <c r="K16" s="27">
        <f>IF(J16="","",VLOOKUP(J16,TABLAS!$A$30:$B$32,2,0))</f>
        <v>1</v>
      </c>
      <c r="L16" s="27" t="s">
        <v>65</v>
      </c>
      <c r="M16" s="27">
        <f>IF(L16="","",VLOOKUP(L16,TABLAS!$C$30:$D$33,2,0))</f>
        <v>3</v>
      </c>
      <c r="N16" s="27" t="s">
        <v>76</v>
      </c>
      <c r="O16" s="27">
        <f>+IF(N16="","",VLOOKUP(N16,TABLAS!$E$30:$F$33,2,0))</f>
        <v>3</v>
      </c>
      <c r="P16" s="27" t="s">
        <v>83</v>
      </c>
      <c r="Q16" s="27">
        <f>+IF(P16="","",VLOOKUP(P16,TABLAS!$G$30:$H$33,2,0))</f>
        <v>1</v>
      </c>
      <c r="R16" s="27" t="s">
        <v>88</v>
      </c>
      <c r="S16" s="27">
        <f>+IF(R16="","",VLOOKUP(R16,TABLAS!$I$30:$J$33,2,0))</f>
        <v>2</v>
      </c>
      <c r="T16" s="27">
        <f>IFERROR(K16*25%+M16*10%+O16*25%+Q16*20%+S16*20%,0)</f>
        <v>1.9</v>
      </c>
      <c r="U16" s="92">
        <f>+IF(T16&gt;=TABLAS!$A$39,F16-TABLAS!$C$39,F16)</f>
        <v>3</v>
      </c>
      <c r="V16" s="92" t="s">
        <v>51</v>
      </c>
      <c r="W16" s="92" t="str">
        <f>INDEX(TABLAS!$B$14:$F$18,MATCH(U16,TABLAS!$A$14:$A$18,0),MATCH(V16,TABLAS!$B$13:$F$13,0))</f>
        <v>M</v>
      </c>
      <c r="X16" s="92" t="str">
        <f>+VLOOKUP(W16,TABLAS!$A$22:$B$25,2,0)</f>
        <v>Asumir, mitigar el riesgo</v>
      </c>
      <c r="Y16" s="92" t="s">
        <v>103</v>
      </c>
      <c r="Z16" s="92" t="s">
        <v>123</v>
      </c>
      <c r="AA16" s="26" t="s">
        <v>227</v>
      </c>
      <c r="AB16" s="24" t="s">
        <v>36</v>
      </c>
      <c r="AC16" s="24"/>
      <c r="AD16" s="24" t="s">
        <v>36</v>
      </c>
      <c r="AE16" s="174">
        <v>1</v>
      </c>
      <c r="AF16" s="24" t="s">
        <v>36</v>
      </c>
      <c r="AG16" s="174">
        <v>1</v>
      </c>
    </row>
    <row r="17" spans="1:33" ht="125.25" customHeight="1" x14ac:dyDescent="0.3">
      <c r="A17" s="44" t="s">
        <v>167</v>
      </c>
      <c r="B17" s="92" t="s">
        <v>228</v>
      </c>
      <c r="C17" s="92" t="s">
        <v>177</v>
      </c>
      <c r="D17" s="92" t="s">
        <v>202</v>
      </c>
      <c r="E17" s="92" t="s">
        <v>385</v>
      </c>
      <c r="F17" s="92">
        <v>2</v>
      </c>
      <c r="G17" s="92" t="s">
        <v>52</v>
      </c>
      <c r="H17" s="92" t="str">
        <f>INDEX(TABLAS!$B$14:$F$18,MATCH(F17,TABLAS!$A$14:$A$18,0),MATCH(G17,TABLAS!$B$13:$F$13,0))</f>
        <v>M</v>
      </c>
      <c r="I17" s="92" t="s">
        <v>229</v>
      </c>
      <c r="J17" s="27" t="s">
        <v>106</v>
      </c>
      <c r="K17" s="27">
        <f>IF(J17="","",VLOOKUP(J17,TABLAS!$A$30:$B$32,2,0))</f>
        <v>2</v>
      </c>
      <c r="L17" s="27" t="s">
        <v>72</v>
      </c>
      <c r="M17" s="27">
        <f>IF(L17="","",VLOOKUP(L17,TABLAS!$C$30:$D$33,2,0))</f>
        <v>2</v>
      </c>
      <c r="N17" s="27" t="s">
        <v>76</v>
      </c>
      <c r="O17" s="27">
        <f>+IF(N17="","",VLOOKUP(N17,TABLAS!$E$30:$F$33,2,0))</f>
        <v>3</v>
      </c>
      <c r="P17" s="27" t="s">
        <v>81</v>
      </c>
      <c r="Q17" s="27">
        <f>+IF(P17="","",VLOOKUP(P17,TABLAS!$G$30:$H$33,2,0))</f>
        <v>3</v>
      </c>
      <c r="R17" s="27" t="s">
        <v>86</v>
      </c>
      <c r="S17" s="27">
        <f>+IF(R17="","",VLOOKUP(R17,TABLAS!$I$30:$J$33,2,0))</f>
        <v>3</v>
      </c>
      <c r="T17" s="27">
        <f t="shared" si="0"/>
        <v>2.65</v>
      </c>
      <c r="U17" s="92">
        <f>+IF(T17&gt;=TABLAS!$A$39,F17-TABLAS!$C$39,F17)</f>
        <v>1</v>
      </c>
      <c r="V17" s="92" t="s">
        <v>51</v>
      </c>
      <c r="W17" s="92" t="str">
        <f>INDEX(TABLAS!$B$14:$F$18,MATCH(U17,TABLAS!$A$14:$A$18,0),MATCH(V17,TABLAS!$B$13:$F$13,0))</f>
        <v>B</v>
      </c>
      <c r="X17" s="92" t="str">
        <f>+VLOOKUP(W17,TABLAS!$A$22:$B$25,2,0)</f>
        <v>Asumir y monitoreo</v>
      </c>
      <c r="Y17" s="92" t="s">
        <v>103</v>
      </c>
      <c r="Z17" s="92" t="s">
        <v>121</v>
      </c>
      <c r="AA17" s="26" t="s">
        <v>117</v>
      </c>
      <c r="AB17" s="24" t="s">
        <v>36</v>
      </c>
      <c r="AC17" s="24"/>
      <c r="AD17" s="24" t="s">
        <v>36</v>
      </c>
      <c r="AE17" s="24"/>
      <c r="AF17" s="24" t="s">
        <v>36</v>
      </c>
      <c r="AG17" s="24"/>
    </row>
    <row r="18" spans="1:33" ht="78" x14ac:dyDescent="0.3">
      <c r="A18" s="44" t="s">
        <v>168</v>
      </c>
      <c r="B18" s="92" t="s">
        <v>179</v>
      </c>
      <c r="C18" s="92" t="s">
        <v>180</v>
      </c>
      <c r="D18" s="92" t="s">
        <v>202</v>
      </c>
      <c r="E18" s="92" t="s">
        <v>385</v>
      </c>
      <c r="F18" s="92">
        <v>1</v>
      </c>
      <c r="G18" s="92" t="s">
        <v>51</v>
      </c>
      <c r="H18" s="92" t="str">
        <f>INDEX(TABLAS!$B$14:$F$18,MATCH(F18,TABLAS!$A$14:$A$18,0),MATCH(G18,TABLAS!$B$13:$F$13,0))</f>
        <v>B</v>
      </c>
      <c r="I18" s="92" t="s">
        <v>124</v>
      </c>
      <c r="J18" s="27" t="s">
        <v>106</v>
      </c>
      <c r="K18" s="27">
        <f>IF(J18="","",VLOOKUP(J18,TABLAS!$A$30:$B$32,2,0))</f>
        <v>2</v>
      </c>
      <c r="L18" s="27" t="s">
        <v>72</v>
      </c>
      <c r="M18" s="27">
        <f>IF(L18="","",VLOOKUP(L18,TABLAS!$C$30:$D$33,2,0))</f>
        <v>2</v>
      </c>
      <c r="N18" s="27" t="s">
        <v>79</v>
      </c>
      <c r="O18" s="27">
        <f>+IF(N18="","",VLOOKUP(N18,TABLAS!$E$30:$F$33,2,0))</f>
        <v>0</v>
      </c>
      <c r="P18" s="27" t="s">
        <v>82</v>
      </c>
      <c r="Q18" s="27">
        <f>+IF(P18="","",VLOOKUP(P18,TABLAS!$G$30:$H$33,2,0))</f>
        <v>2</v>
      </c>
      <c r="R18" s="27" t="s">
        <v>88</v>
      </c>
      <c r="S18" s="27">
        <f>+IF(R18="","",VLOOKUP(R18,TABLAS!$I$30:$J$33,2,0))</f>
        <v>2</v>
      </c>
      <c r="T18" s="27">
        <f t="shared" si="0"/>
        <v>1.5</v>
      </c>
      <c r="U18" s="92">
        <f>+IF(T18&gt;=TABLAS!$A$39,F18-TABLAS!$C$39,F18)</f>
        <v>1</v>
      </c>
      <c r="V18" s="92" t="s">
        <v>50</v>
      </c>
      <c r="W18" s="92" t="str">
        <f>INDEX(TABLAS!$B$14:$F$18,MATCH(U18,TABLAS!$A$14:$A$18,0),MATCH(V18,TABLAS!$B$13:$F$13,0))</f>
        <v>B</v>
      </c>
      <c r="X18" s="92" t="str">
        <f>+VLOOKUP(W18,TABLAS!$A$22:$B$25,2,0)</f>
        <v>Asumir y monitoreo</v>
      </c>
      <c r="Y18" s="92" t="s">
        <v>103</v>
      </c>
      <c r="Z18" s="92" t="s">
        <v>18</v>
      </c>
      <c r="AA18" s="26" t="s">
        <v>125</v>
      </c>
      <c r="AB18" s="24" t="s">
        <v>36</v>
      </c>
      <c r="AC18" s="24"/>
      <c r="AD18" s="24" t="s">
        <v>36</v>
      </c>
      <c r="AE18" s="24">
        <v>2</v>
      </c>
      <c r="AF18" s="24" t="s">
        <v>36</v>
      </c>
      <c r="AG18" s="24">
        <v>1</v>
      </c>
    </row>
    <row r="19" spans="1:33" ht="202.8" x14ac:dyDescent="0.3">
      <c r="A19" s="44" t="s">
        <v>169</v>
      </c>
      <c r="B19" s="92" t="s">
        <v>181</v>
      </c>
      <c r="C19" s="92" t="s">
        <v>230</v>
      </c>
      <c r="D19" s="92" t="s">
        <v>203</v>
      </c>
      <c r="E19" s="92" t="s">
        <v>385</v>
      </c>
      <c r="F19" s="92">
        <v>3</v>
      </c>
      <c r="G19" s="92" t="s">
        <v>53</v>
      </c>
      <c r="H19" s="92" t="str">
        <f>INDEX(TABLAS!$B$14:$F$18,MATCH(F19,TABLAS!$A$14:$A$18,0),MATCH(G19,TABLAS!$B$13:$F$13,0))</f>
        <v>E</v>
      </c>
      <c r="I19" s="92" t="s">
        <v>148</v>
      </c>
      <c r="J19" s="27" t="s">
        <v>69</v>
      </c>
      <c r="K19" s="27">
        <f>IF(J19="","",VLOOKUP(J19,TABLAS!$A$30:$B$32,2,0))</f>
        <v>1</v>
      </c>
      <c r="L19" s="27" t="s">
        <v>72</v>
      </c>
      <c r="M19" s="27">
        <f>IF(L19="","",VLOOKUP(L19,TABLAS!$C$30:$D$33,2,0))</f>
        <v>2</v>
      </c>
      <c r="N19" s="27" t="s">
        <v>76</v>
      </c>
      <c r="O19" s="27">
        <f>+IF(N19="","",VLOOKUP(N19,TABLAS!$E$30:$F$33,2,0))</f>
        <v>3</v>
      </c>
      <c r="P19" s="27" t="s">
        <v>81</v>
      </c>
      <c r="Q19" s="27">
        <f>+IF(P19="","",VLOOKUP(P19,TABLAS!$G$30:$H$33,2,0))</f>
        <v>3</v>
      </c>
      <c r="R19" s="27" t="s">
        <v>87</v>
      </c>
      <c r="S19" s="27">
        <f>+IF(R19="","",VLOOKUP(R19,TABLAS!$I$30:$J$33,2,0))</f>
        <v>3</v>
      </c>
      <c r="T19" s="27">
        <f t="shared" si="0"/>
        <v>2.4000000000000004</v>
      </c>
      <c r="U19" s="92">
        <f>+IF(T19&gt;=TABLAS!$A$39,F19-TABLAS!$C$39,F19)</f>
        <v>2</v>
      </c>
      <c r="V19" s="92" t="s">
        <v>52</v>
      </c>
      <c r="W19" s="92" t="str">
        <f>INDEX(TABLAS!$B$14:$F$18,MATCH(U19,TABLAS!$A$14:$A$18,0),MATCH(V19,TABLAS!$B$13:$F$13,0))</f>
        <v>M</v>
      </c>
      <c r="X19" s="92" t="str">
        <f>+VLOOKUP(W19,TABLAS!$A$22:$B$25,2,0)</f>
        <v>Asumir, mitigar el riesgo</v>
      </c>
      <c r="Y19" s="92" t="s">
        <v>103</v>
      </c>
      <c r="Z19" s="92" t="s">
        <v>149</v>
      </c>
      <c r="AA19" s="26" t="s">
        <v>132</v>
      </c>
      <c r="AB19" s="24" t="s">
        <v>36</v>
      </c>
      <c r="AC19" s="24"/>
      <c r="AD19" s="24" t="s">
        <v>36</v>
      </c>
      <c r="AE19" s="92" t="s">
        <v>658</v>
      </c>
      <c r="AF19" s="24" t="s">
        <v>36</v>
      </c>
      <c r="AG19" s="92" t="s">
        <v>658</v>
      </c>
    </row>
    <row r="20" spans="1:33" ht="109.2" x14ac:dyDescent="0.3">
      <c r="A20" s="44" t="s">
        <v>170</v>
      </c>
      <c r="B20" s="92" t="s">
        <v>183</v>
      </c>
      <c r="C20" s="92" t="s">
        <v>182</v>
      </c>
      <c r="D20" s="92" t="s">
        <v>202</v>
      </c>
      <c r="E20" s="92" t="s">
        <v>381</v>
      </c>
      <c r="F20" s="92">
        <v>2</v>
      </c>
      <c r="G20" s="92" t="s">
        <v>54</v>
      </c>
      <c r="H20" s="92" t="str">
        <f>INDEX(TABLAS!$B$14:$F$18,MATCH(F20,TABLAS!$A$14:$A$18,0),MATCH(G20,TABLAS!$B$13:$F$13,0))</f>
        <v>E</v>
      </c>
      <c r="I20" s="92" t="s">
        <v>126</v>
      </c>
      <c r="J20" s="27" t="s">
        <v>68</v>
      </c>
      <c r="K20" s="27">
        <f>IF(J20="","",VLOOKUP(J20,TABLAS!$A$30:$B$32,2,0))</f>
        <v>3</v>
      </c>
      <c r="L20" s="27" t="s">
        <v>65</v>
      </c>
      <c r="M20" s="27">
        <f>IF(L20="","",VLOOKUP(L20,TABLAS!$C$30:$D$33,2,0))</f>
        <v>3</v>
      </c>
      <c r="N20" s="27" t="s">
        <v>76</v>
      </c>
      <c r="O20" s="27">
        <f>+IF(N20="","",VLOOKUP(N20,TABLAS!$E$30:$F$33,2,0))</f>
        <v>3</v>
      </c>
      <c r="P20" s="27" t="s">
        <v>81</v>
      </c>
      <c r="Q20" s="27">
        <f>+IF(P20="","",VLOOKUP(P20,TABLAS!$G$30:$H$33,2,0))</f>
        <v>3</v>
      </c>
      <c r="R20" s="27" t="s">
        <v>86</v>
      </c>
      <c r="S20" s="27">
        <f>+IF(R20="","",VLOOKUP(R20,TABLAS!$I$30:$J$33,2,0))</f>
        <v>3</v>
      </c>
      <c r="T20" s="27">
        <f t="shared" si="0"/>
        <v>3.0000000000000004</v>
      </c>
      <c r="U20" s="92">
        <f>+IF(T20&gt;=TABLAS!$A$39,F20-TABLAS!$C$39,F20)</f>
        <v>1</v>
      </c>
      <c r="V20" s="92" t="s">
        <v>52</v>
      </c>
      <c r="W20" s="92" t="str">
        <f>INDEX(TABLAS!$B$14:$F$18,MATCH(U20,TABLAS!$A$14:$A$18,0),MATCH(V20,TABLAS!$B$13:$F$13,0))</f>
        <v>M</v>
      </c>
      <c r="X20" s="92" t="str">
        <f>+VLOOKUP(W20,TABLAS!$A$22:$B$25,2,0)</f>
        <v>Asumir, mitigar el riesgo</v>
      </c>
      <c r="Y20" s="92" t="s">
        <v>103</v>
      </c>
      <c r="Z20" s="92" t="s">
        <v>469</v>
      </c>
      <c r="AA20" s="26" t="s">
        <v>132</v>
      </c>
      <c r="AB20" s="24" t="s">
        <v>36</v>
      </c>
      <c r="AC20" s="24"/>
      <c r="AD20" s="24" t="s">
        <v>36</v>
      </c>
      <c r="AE20" s="24"/>
      <c r="AF20" s="24" t="s">
        <v>36</v>
      </c>
      <c r="AG20" s="24"/>
    </row>
    <row r="22" spans="1:33" ht="23.4" x14ac:dyDescent="0.3">
      <c r="A22" s="201" t="s">
        <v>587</v>
      </c>
      <c r="B22" s="201"/>
      <c r="C22" s="201"/>
      <c r="D22" s="201"/>
      <c r="E22" s="206" t="s">
        <v>476</v>
      </c>
      <c r="F22" s="206"/>
      <c r="G22" s="206"/>
      <c r="H22" s="206"/>
      <c r="I22" s="206"/>
    </row>
    <row r="23" spans="1:33" ht="6.75" customHeight="1" x14ac:dyDescent="0.3">
      <c r="E23" s="145"/>
      <c r="F23" s="145"/>
      <c r="G23" s="145"/>
      <c r="H23" s="145"/>
      <c r="I23" s="145"/>
    </row>
    <row r="24" spans="1:33" ht="23.4" x14ac:dyDescent="0.3">
      <c r="A24" s="201" t="s">
        <v>595</v>
      </c>
      <c r="B24" s="201"/>
      <c r="C24" s="201"/>
      <c r="D24" s="201"/>
      <c r="E24" s="206" t="s">
        <v>589</v>
      </c>
      <c r="F24" s="206"/>
      <c r="G24" s="206"/>
      <c r="H24" s="206"/>
      <c r="I24" s="206"/>
    </row>
  </sheetData>
  <mergeCells count="19">
    <mergeCell ref="A10:D10"/>
    <mergeCell ref="E10:G10"/>
    <mergeCell ref="A22:D22"/>
    <mergeCell ref="E22:I22"/>
    <mergeCell ref="A24:D24"/>
    <mergeCell ref="E24:I24"/>
    <mergeCell ref="A12:A14"/>
    <mergeCell ref="B12:E13"/>
    <mergeCell ref="AB12:AG13"/>
    <mergeCell ref="X12:AA12"/>
    <mergeCell ref="I12:T13"/>
    <mergeCell ref="F12:H12"/>
    <mergeCell ref="AA13:AA14"/>
    <mergeCell ref="F13:G13"/>
    <mergeCell ref="Z13:Z14"/>
    <mergeCell ref="X13:X14"/>
    <mergeCell ref="Y13:Y14"/>
    <mergeCell ref="U12:V13"/>
    <mergeCell ref="W12:W13"/>
  </mergeCells>
  <conditionalFormatting sqref="H15:H20">
    <cfRule type="expression" dxfId="95" priority="5" stopIfTrue="1">
      <formula>H15="E"</formula>
    </cfRule>
    <cfRule type="expression" dxfId="94" priority="6" stopIfTrue="1">
      <formula>H15="M"</formula>
    </cfRule>
    <cfRule type="expression" dxfId="93" priority="7" stopIfTrue="1">
      <formula>H15="B"</formula>
    </cfRule>
    <cfRule type="expression" dxfId="92" priority="8" stopIfTrue="1">
      <formula>H15="A"</formula>
    </cfRule>
  </conditionalFormatting>
  <conditionalFormatting sqref="W15:W20">
    <cfRule type="expression" dxfId="91" priority="1" stopIfTrue="1">
      <formula>W15="E"</formula>
    </cfRule>
    <cfRule type="expression" dxfId="90" priority="2" stopIfTrue="1">
      <formula>W15="M"</formula>
    </cfRule>
    <cfRule type="expression" dxfId="89" priority="3" stopIfTrue="1">
      <formula>W15="B"</formula>
    </cfRule>
    <cfRule type="expression" dxfId="88" priority="4" stopIfTrue="1">
      <formula>W15="A"</formula>
    </cfRule>
  </conditionalFormatting>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0000000}">
          <x14:formula1>
            <xm:f>TABLAS!$A$14:$A$18</xm:f>
          </x14:formula1>
          <xm:sqref>F15:F20</xm:sqref>
        </x14:dataValidation>
        <x14:dataValidation type="list" allowBlank="1" showInputMessage="1" showErrorMessage="1" xr:uid="{00000000-0002-0000-0500-000001000000}">
          <x14:formula1>
            <xm:f>TABLAS!$B$13:$F$13</xm:f>
          </x14:formula1>
          <xm:sqref>G15:G20 V15:V20</xm:sqref>
        </x14:dataValidation>
        <x14:dataValidation type="list" allowBlank="1" showInputMessage="1" showErrorMessage="1" xr:uid="{00000000-0002-0000-0500-000002000000}">
          <x14:formula1>
            <xm:f>TABLAS!$A$30:$A$32</xm:f>
          </x14:formula1>
          <xm:sqref>J15:J20</xm:sqref>
        </x14:dataValidation>
        <x14:dataValidation type="list" allowBlank="1" showInputMessage="1" showErrorMessage="1" xr:uid="{00000000-0002-0000-0500-000003000000}">
          <x14:formula1>
            <xm:f>TABLAS!$C$30:$C$33</xm:f>
          </x14:formula1>
          <xm:sqref>L15:L20</xm:sqref>
        </x14:dataValidation>
        <x14:dataValidation type="list" allowBlank="1" showInputMessage="1" showErrorMessage="1" xr:uid="{00000000-0002-0000-0500-000004000000}">
          <x14:formula1>
            <xm:f>TABLAS!$E$30:$E$33</xm:f>
          </x14:formula1>
          <xm:sqref>N15:N20</xm:sqref>
        </x14:dataValidation>
        <x14:dataValidation type="list" allowBlank="1" showInputMessage="1" showErrorMessage="1" xr:uid="{00000000-0002-0000-0500-000005000000}">
          <x14:formula1>
            <xm:f>TABLAS!$G$30:$G$33</xm:f>
          </x14:formula1>
          <xm:sqref>P15:P20</xm:sqref>
        </x14:dataValidation>
        <x14:dataValidation type="list" allowBlank="1" showInputMessage="1" showErrorMessage="1" xr:uid="{00000000-0002-0000-0500-000006000000}">
          <x14:formula1>
            <xm:f>TABLAS!$I$30:$I$33</xm:f>
          </x14:formula1>
          <xm:sqref>R15:R20</xm:sqref>
        </x14:dataValidation>
        <x14:dataValidation type="list" allowBlank="1" showInputMessage="1" showErrorMessage="1" xr:uid="{00000000-0002-0000-0500-000007000000}">
          <x14:formula1>
            <xm:f>TABLAS!$B$44:$B$52</xm:f>
          </x14:formula1>
          <xm:sqref>E15:E20</xm:sqref>
        </x14:dataValidation>
        <x14:dataValidation type="list" allowBlank="1" showInputMessage="1" showErrorMessage="1" xr:uid="{00000000-0002-0000-0500-000008000000}">
          <x14:formula1>
            <xm:f>TABLAS!$A$44:$A$52</xm:f>
          </x14:formula1>
          <xm:sqref>D15:D20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0:S37"/>
  <sheetViews>
    <sheetView view="pageBreakPreview" topLeftCell="C12" zoomScale="60" zoomScaleNormal="90" workbookViewId="0">
      <selection activeCell="L23" sqref="L23"/>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347</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x14ac:dyDescent="0.3">
      <c r="A13" s="126"/>
      <c r="B13" s="126"/>
      <c r="C13" s="146"/>
      <c r="D13" s="92"/>
      <c r="E13" s="139"/>
      <c r="F13" s="139"/>
      <c r="G13" s="126"/>
      <c r="H13" s="126"/>
      <c r="I13" s="126"/>
    </row>
    <row r="14" spans="1:9" s="89" customFormat="1" ht="14.4" x14ac:dyDescent="0.3">
      <c r="A14" s="126"/>
      <c r="B14" s="126"/>
      <c r="C14" s="146"/>
      <c r="D14" s="14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26"/>
      <c r="D19" s="126"/>
      <c r="E19" s="139"/>
      <c r="F19" s="139"/>
      <c r="G19" s="126"/>
      <c r="H19" s="126"/>
      <c r="I19" s="126"/>
    </row>
    <row r="20" spans="1:9" s="89" customFormat="1" ht="14.4" x14ac:dyDescent="0.3">
      <c r="A20" s="126"/>
      <c r="B20" s="126"/>
      <c r="C20" s="126"/>
      <c r="D20" s="126"/>
      <c r="E20" s="139"/>
      <c r="F20" s="139"/>
      <c r="G20" s="126"/>
      <c r="H20" s="126"/>
      <c r="I20" s="126"/>
    </row>
    <row r="21" spans="1:9" s="89" customFormat="1" ht="14.4" x14ac:dyDescent="0.3">
      <c r="A21" s="126"/>
      <c r="B21" s="126"/>
      <c r="C21" s="146"/>
      <c r="D21" s="126"/>
      <c r="E21" s="139"/>
      <c r="F21" s="139"/>
      <c r="G21" s="126"/>
      <c r="H21" s="126"/>
      <c r="I21" s="126"/>
    </row>
    <row r="22" spans="1:9" s="89" customFormat="1" ht="14.4" x14ac:dyDescent="0.3">
      <c r="A22" s="126"/>
      <c r="B22" s="126"/>
      <c r="C22" s="126"/>
      <c r="D22" s="126"/>
      <c r="E22" s="139"/>
      <c r="F22" s="139"/>
      <c r="G22" s="126"/>
      <c r="H22" s="126"/>
      <c r="I22" s="126"/>
    </row>
    <row r="23" spans="1:9" s="89" customFormat="1" ht="14.4" x14ac:dyDescent="0.3">
      <c r="A23" s="126"/>
      <c r="B23" s="126"/>
      <c r="C23" s="126"/>
      <c r="D23" s="126"/>
      <c r="E23" s="139"/>
      <c r="F23" s="126"/>
      <c r="G23" s="126"/>
      <c r="H23" s="126"/>
      <c r="I23" s="126"/>
    </row>
    <row r="24" spans="1:9" s="89" customFormat="1" ht="14.4" x14ac:dyDescent="0.3">
      <c r="A24" s="126"/>
      <c r="B24" s="126"/>
      <c r="C24" s="126"/>
      <c r="D24" s="126"/>
      <c r="E24" s="139"/>
      <c r="F24" s="126"/>
      <c r="G24" s="126"/>
      <c r="H24" s="126"/>
      <c r="I24" s="126"/>
    </row>
    <row r="25" spans="1:9" s="89" customFormat="1" ht="14.4" x14ac:dyDescent="0.3">
      <c r="A25" s="126"/>
      <c r="B25" s="126"/>
      <c r="C25" s="126"/>
      <c r="D25" s="126"/>
      <c r="E25" s="126"/>
      <c r="F25" s="126"/>
      <c r="G25" s="126"/>
      <c r="H25" s="126"/>
      <c r="I25" s="126"/>
    </row>
    <row r="26" spans="1:9" s="89" customFormat="1" ht="14.4" x14ac:dyDescent="0.3">
      <c r="A26" s="90"/>
      <c r="B26" s="90"/>
      <c r="C26" s="90"/>
      <c r="D26" s="90"/>
      <c r="E26" s="90"/>
      <c r="F26" s="90"/>
      <c r="G26" s="90"/>
      <c r="H26" s="90"/>
      <c r="I26" s="90"/>
    </row>
    <row r="27" spans="1:9" s="89" customFormat="1" ht="14.4" x14ac:dyDescent="0.3">
      <c r="A27" s="90"/>
      <c r="B27" s="90"/>
      <c r="C27" s="90"/>
      <c r="D27" s="90"/>
      <c r="E27" s="90"/>
      <c r="F27" s="90"/>
      <c r="G27" s="90"/>
      <c r="H27" s="90"/>
      <c r="I27" s="90"/>
    </row>
    <row r="28" spans="1:9" s="89" customFormat="1" ht="14.4" x14ac:dyDescent="0.3">
      <c r="A28" s="90"/>
      <c r="B28" s="90"/>
      <c r="C28" s="90"/>
      <c r="D28" s="90"/>
      <c r="E28" s="90"/>
      <c r="F28" s="90"/>
      <c r="G28" s="90"/>
      <c r="H28" s="90"/>
      <c r="I28" s="90"/>
    </row>
    <row r="29" spans="1:9" s="89" customFormat="1" ht="14.4" x14ac:dyDescent="0.3">
      <c r="A29" s="90"/>
      <c r="B29" s="90"/>
      <c r="C29" s="90"/>
      <c r="D29" s="90"/>
      <c r="E29" s="90"/>
      <c r="F29" s="90"/>
      <c r="G29" s="90"/>
      <c r="H29" s="90"/>
      <c r="I29" s="90"/>
    </row>
    <row r="30" spans="1:9" s="89" customFormat="1" ht="14.4" x14ac:dyDescent="0.3">
      <c r="A30" s="90"/>
      <c r="B30" s="90"/>
      <c r="C30" s="90"/>
      <c r="D30" s="90"/>
      <c r="E30" s="90"/>
      <c r="F30" s="90"/>
      <c r="G30" s="90"/>
      <c r="H30" s="90"/>
      <c r="I30" s="90"/>
    </row>
    <row r="31" spans="1:9" s="89" customFormat="1" ht="14.4" x14ac:dyDescent="0.3">
      <c r="A31" s="90"/>
      <c r="B31" s="90"/>
      <c r="C31" s="90"/>
      <c r="D31" s="90"/>
      <c r="E31" s="90"/>
      <c r="F31" s="90"/>
      <c r="G31" s="90"/>
      <c r="H31" s="90"/>
      <c r="I31" s="90"/>
    </row>
    <row r="32" spans="1:9" s="89" customFormat="1" ht="14.4" x14ac:dyDescent="0.3">
      <c r="A32" s="90"/>
      <c r="B32" s="90"/>
      <c r="C32" s="90"/>
      <c r="D32" s="90"/>
      <c r="E32" s="90"/>
      <c r="F32" s="90"/>
      <c r="G32" s="90"/>
      <c r="H32" s="90"/>
      <c r="I32" s="90"/>
    </row>
    <row r="33" spans="1:9" s="89" customFormat="1" ht="14.4" x14ac:dyDescent="0.3">
      <c r="A33" s="90"/>
      <c r="B33" s="90"/>
      <c r="C33" s="90"/>
      <c r="D33" s="90"/>
      <c r="E33" s="90"/>
      <c r="F33" s="90"/>
      <c r="G33" s="90"/>
      <c r="H33" s="90"/>
      <c r="I33" s="90"/>
    </row>
    <row r="35" spans="1:9" ht="23.4" x14ac:dyDescent="0.3">
      <c r="A35" s="201" t="s">
        <v>590</v>
      </c>
      <c r="B35" s="201"/>
      <c r="C35" s="201"/>
      <c r="D35" s="201"/>
      <c r="E35" s="206" t="s">
        <v>476</v>
      </c>
      <c r="F35" s="206"/>
      <c r="G35" s="206"/>
      <c r="H35" s="206"/>
      <c r="I35" s="206"/>
    </row>
    <row r="37" spans="1:9" ht="23.4" x14ac:dyDescent="0.3">
      <c r="A37" s="201" t="s">
        <v>591</v>
      </c>
      <c r="B37" s="201"/>
      <c r="C37" s="201"/>
      <c r="D37" s="201"/>
      <c r="E37" s="206" t="s">
        <v>589</v>
      </c>
      <c r="F37" s="206"/>
      <c r="G37" s="206"/>
      <c r="H37" s="206"/>
      <c r="I37" s="206"/>
    </row>
  </sheetData>
  <sheetProtection algorithmName="SHA-512" hashValue="h/72KwbAqdxvUD0/6aAGznvHjZvZkf9xwMf80evMN62b5EuSWgdfnrHy2W8v/OErrD1ngqBb2avBvZPyY7CofA==" saltValue="mG87sNd/S0miKOh+9GZOJg==" spinCount="100000" sheet="1" objects="1" scenarios="1"/>
  <mergeCells count="6">
    <mergeCell ref="A10:D10"/>
    <mergeCell ref="E10:G10"/>
    <mergeCell ref="A35:D35"/>
    <mergeCell ref="E35:I35"/>
    <mergeCell ref="A37:D37"/>
    <mergeCell ref="E37:I37"/>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0:AG24"/>
  <sheetViews>
    <sheetView view="pageBreakPreview" topLeftCell="U15" zoomScale="60" zoomScaleNormal="80" workbookViewId="0">
      <selection activeCell="AG17" sqref="AG17"/>
    </sheetView>
  </sheetViews>
  <sheetFormatPr baseColWidth="10" defaultColWidth="11.44140625" defaultRowHeight="15.6" x14ac:dyDescent="0.3"/>
  <cols>
    <col min="1" max="1" width="11.44140625" style="25"/>
    <col min="2" max="5" width="19.6640625" style="25" customWidth="1"/>
    <col min="6" max="6" width="15.5546875" style="25" customWidth="1"/>
    <col min="7" max="7" width="17.44140625" style="25" customWidth="1"/>
    <col min="8" max="8" width="14.88671875" style="25" customWidth="1"/>
    <col min="9" max="9" width="33.5546875" style="25" customWidth="1"/>
    <col min="10" max="10" width="17.44140625" style="25" customWidth="1"/>
    <col min="11" max="11" width="23.6640625" style="25" hidden="1" customWidth="1"/>
    <col min="12" max="12" width="17.44140625" style="25" customWidth="1"/>
    <col min="13" max="13" width="23.6640625" style="25" hidden="1" customWidth="1"/>
    <col min="14" max="14" width="21.44140625" style="25" customWidth="1"/>
    <col min="15" max="15" width="23.6640625" style="25" hidden="1" customWidth="1"/>
    <col min="16" max="16" width="16.44140625" style="25" bestFit="1" customWidth="1"/>
    <col min="17" max="17" width="23.6640625" style="25" hidden="1" customWidth="1"/>
    <col min="18" max="18" width="15.5546875" style="25" bestFit="1" customWidth="1"/>
    <col min="19" max="19" width="23.6640625" style="25" hidden="1" customWidth="1"/>
    <col min="20" max="20" width="14.88671875" style="25" bestFit="1" customWidth="1"/>
    <col min="21" max="21" width="17" style="25" customWidth="1"/>
    <col min="22" max="22" width="15.88671875" style="25" customWidth="1"/>
    <col min="23" max="23" width="16.88671875" style="25" customWidth="1"/>
    <col min="24" max="24" width="19.5546875" style="25" customWidth="1"/>
    <col min="25" max="25" width="17.33203125" style="25" customWidth="1"/>
    <col min="26" max="26" width="18.6640625" style="25" bestFit="1" customWidth="1"/>
    <col min="27" max="27" width="21.44140625" style="25" customWidth="1"/>
    <col min="28" max="33" width="11.44140625" style="25" customWidth="1"/>
    <col min="34" max="16384" width="11.44140625" style="25"/>
  </cols>
  <sheetData>
    <row r="10" spans="1:33" ht="23.4" x14ac:dyDescent="0.3">
      <c r="A10" s="201" t="s">
        <v>343</v>
      </c>
      <c r="B10" s="201"/>
      <c r="C10" s="201"/>
      <c r="D10" s="201"/>
      <c r="E10" s="202" t="s">
        <v>348</v>
      </c>
      <c r="F10" s="202"/>
      <c r="G10" s="202"/>
    </row>
    <row r="12" spans="1:33" s="78" customFormat="1" ht="15.75" customHeight="1" x14ac:dyDescent="0.3">
      <c r="A12" s="208" t="s">
        <v>164</v>
      </c>
      <c r="B12" s="192" t="s">
        <v>374</v>
      </c>
      <c r="C12" s="203"/>
      <c r="D12" s="203"/>
      <c r="E12" s="203"/>
      <c r="F12" s="207" t="s">
        <v>0</v>
      </c>
      <c r="G12" s="207"/>
      <c r="H12" s="207"/>
      <c r="I12" s="186" t="s">
        <v>14</v>
      </c>
      <c r="J12" s="187"/>
      <c r="K12" s="187"/>
      <c r="L12" s="187"/>
      <c r="M12" s="187"/>
      <c r="N12" s="187"/>
      <c r="O12" s="187"/>
      <c r="P12" s="187"/>
      <c r="Q12" s="187"/>
      <c r="R12" s="187"/>
      <c r="S12" s="187"/>
      <c r="T12" s="188"/>
      <c r="U12" s="192" t="s">
        <v>1</v>
      </c>
      <c r="V12" s="193"/>
      <c r="W12" s="196" t="s">
        <v>8</v>
      </c>
      <c r="X12" s="198" t="s">
        <v>598</v>
      </c>
      <c r="Y12" s="199"/>
      <c r="Z12" s="199"/>
      <c r="AA12" s="200"/>
      <c r="AB12" s="179" t="s">
        <v>270</v>
      </c>
      <c r="AC12" s="180"/>
      <c r="AD12" s="180"/>
      <c r="AE12" s="180"/>
      <c r="AF12" s="180"/>
      <c r="AG12" s="181"/>
    </row>
    <row r="13" spans="1:33" s="78" customFormat="1" ht="32.25" customHeight="1" x14ac:dyDescent="0.3">
      <c r="A13" s="209"/>
      <c r="B13" s="204"/>
      <c r="C13" s="205"/>
      <c r="D13" s="205"/>
      <c r="E13" s="205"/>
      <c r="F13" s="185" t="s">
        <v>110</v>
      </c>
      <c r="G13" s="185"/>
      <c r="H13" s="80" t="s">
        <v>146</v>
      </c>
      <c r="I13" s="189"/>
      <c r="J13" s="190"/>
      <c r="K13" s="190"/>
      <c r="L13" s="190"/>
      <c r="M13" s="190"/>
      <c r="N13" s="190"/>
      <c r="O13" s="190"/>
      <c r="P13" s="190"/>
      <c r="Q13" s="190"/>
      <c r="R13" s="190"/>
      <c r="S13" s="190"/>
      <c r="T13" s="191"/>
      <c r="U13" s="194"/>
      <c r="V13" s="195"/>
      <c r="W13" s="197"/>
      <c r="X13" s="185" t="s">
        <v>289</v>
      </c>
      <c r="Y13" s="185" t="s">
        <v>288</v>
      </c>
      <c r="Z13" s="185" t="s">
        <v>9</v>
      </c>
      <c r="AA13" s="185" t="s">
        <v>16</v>
      </c>
      <c r="AB13" s="182"/>
      <c r="AC13" s="183"/>
      <c r="AD13" s="183"/>
      <c r="AE13" s="183"/>
      <c r="AF13" s="183"/>
      <c r="AG13" s="184"/>
    </row>
    <row r="14" spans="1:33" s="78" customFormat="1" ht="72.75" customHeight="1" x14ac:dyDescent="0.3">
      <c r="A14" s="210"/>
      <c r="B14" s="79" t="s">
        <v>178</v>
      </c>
      <c r="C14" s="79" t="s">
        <v>172</v>
      </c>
      <c r="D14" s="28" t="s">
        <v>373</v>
      </c>
      <c r="E14" s="28" t="s">
        <v>372</v>
      </c>
      <c r="F14" s="80" t="s">
        <v>2</v>
      </c>
      <c r="G14" s="80" t="s">
        <v>3</v>
      </c>
      <c r="H14" s="80" t="s">
        <v>4</v>
      </c>
      <c r="I14" s="80" t="s">
        <v>5</v>
      </c>
      <c r="J14" s="80" t="s">
        <v>66</v>
      </c>
      <c r="K14" s="80" t="s">
        <v>90</v>
      </c>
      <c r="L14" s="80" t="s">
        <v>91</v>
      </c>
      <c r="M14" s="80" t="s">
        <v>90</v>
      </c>
      <c r="N14" s="80" t="s">
        <v>92</v>
      </c>
      <c r="O14" s="80" t="s">
        <v>90</v>
      </c>
      <c r="P14" s="80" t="s">
        <v>93</v>
      </c>
      <c r="Q14" s="80" t="s">
        <v>90</v>
      </c>
      <c r="R14" s="80" t="s">
        <v>94</v>
      </c>
      <c r="S14" s="80" t="s">
        <v>90</v>
      </c>
      <c r="T14" s="80" t="s">
        <v>110</v>
      </c>
      <c r="U14" s="28" t="s">
        <v>6</v>
      </c>
      <c r="V14" s="28" t="s">
        <v>7</v>
      </c>
      <c r="W14" s="28" t="s">
        <v>15</v>
      </c>
      <c r="X14" s="185"/>
      <c r="Y14" s="185"/>
      <c r="Z14" s="185"/>
      <c r="AA14" s="185"/>
      <c r="AB14" s="41" t="s">
        <v>10</v>
      </c>
      <c r="AC14" s="41" t="s">
        <v>11</v>
      </c>
      <c r="AD14" s="41" t="s">
        <v>12</v>
      </c>
      <c r="AE14" s="41" t="s">
        <v>11</v>
      </c>
      <c r="AF14" s="41" t="s">
        <v>13</v>
      </c>
      <c r="AG14" s="41" t="s">
        <v>11</v>
      </c>
    </row>
    <row r="15" spans="1:33" ht="94.5" customHeight="1" x14ac:dyDescent="0.3">
      <c r="A15" s="158" t="s">
        <v>165</v>
      </c>
      <c r="B15" s="159" t="s">
        <v>607</v>
      </c>
      <c r="C15" s="34" t="s">
        <v>608</v>
      </c>
      <c r="D15" s="26" t="s">
        <v>203</v>
      </c>
      <c r="E15" s="26" t="s">
        <v>385</v>
      </c>
      <c r="F15" s="24">
        <v>1</v>
      </c>
      <c r="G15" s="24" t="s">
        <v>51</v>
      </c>
      <c r="H15" s="24" t="str">
        <f>INDEX(TABLAS!$B$14:$F$18,MATCH(F15,TABLAS!$A$14:$A$18,0),MATCH(G15,TABLAS!$B$13:$F$13,0))</f>
        <v>B</v>
      </c>
      <c r="I15" s="26" t="s">
        <v>226</v>
      </c>
      <c r="J15" s="27" t="s">
        <v>69</v>
      </c>
      <c r="K15" s="27">
        <f>IF(J15="","",VLOOKUP(J15,TABLAS!$A$30:$B$32,2,0))</f>
        <v>1</v>
      </c>
      <c r="L15" s="27" t="s">
        <v>65</v>
      </c>
      <c r="M15" s="27">
        <f>IF(L15="","",VLOOKUP(L15,TABLAS!$C$30:$D$33,2,0))</f>
        <v>3</v>
      </c>
      <c r="N15" s="27" t="s">
        <v>76</v>
      </c>
      <c r="O15" s="27">
        <f>+IF(N15="","",VLOOKUP(N15,TABLAS!$E$30:$F$33,2,0))</f>
        <v>3</v>
      </c>
      <c r="P15" s="27" t="s">
        <v>82</v>
      </c>
      <c r="Q15" s="27">
        <f>+IF(P15="","",VLOOKUP(P15,TABLAS!$G$30:$H$33,2,0))</f>
        <v>2</v>
      </c>
      <c r="R15" s="27" t="s">
        <v>88</v>
      </c>
      <c r="S15" s="27">
        <f>+IF(R15="","",VLOOKUP(R15,TABLAS!$I$30:$J$33,2,0))</f>
        <v>2</v>
      </c>
      <c r="T15" s="27">
        <f t="shared" ref="T15:T20" si="0">IFERROR(K15*25%+M15*10%+O15*25%+Q15*20%+S15*20%,0)</f>
        <v>2.1</v>
      </c>
      <c r="U15" s="26">
        <f>+IF(T15&gt;=TABLAS!$A$39,F15-TABLAS!$C$39,F15)</f>
        <v>1</v>
      </c>
      <c r="V15" s="92" t="s">
        <v>50</v>
      </c>
      <c r="W15" s="24" t="str">
        <f>INDEX(TABLAS!$B$14:$F$18,MATCH(U15,TABLAS!$A$14:$A$18,0),MATCH(V15,TABLAS!$B$13:$F$13,0))</f>
        <v>B</v>
      </c>
      <c r="X15" s="24" t="str">
        <f>+VLOOKUP(W15,TABLAS!$A$22:$B$25,2,0)</f>
        <v>Asumir y monitoreo</v>
      </c>
      <c r="Y15" s="26" t="s">
        <v>103</v>
      </c>
      <c r="Z15" s="26" t="s">
        <v>121</v>
      </c>
      <c r="AA15" s="26" t="s">
        <v>609</v>
      </c>
      <c r="AB15" s="24" t="s">
        <v>36</v>
      </c>
      <c r="AC15" s="24"/>
      <c r="AD15" s="24" t="s">
        <v>36</v>
      </c>
      <c r="AE15" s="24">
        <v>0</v>
      </c>
      <c r="AF15" s="24" t="s">
        <v>36</v>
      </c>
      <c r="AG15" s="24">
        <v>0</v>
      </c>
    </row>
    <row r="16" spans="1:33" ht="93.6" x14ac:dyDescent="0.3">
      <c r="A16" s="44" t="s">
        <v>166</v>
      </c>
      <c r="B16" s="26" t="s">
        <v>610</v>
      </c>
      <c r="C16" s="92" t="s">
        <v>291</v>
      </c>
      <c r="D16" s="26" t="s">
        <v>203</v>
      </c>
      <c r="E16" s="26" t="s">
        <v>385</v>
      </c>
      <c r="F16" s="24">
        <v>1</v>
      </c>
      <c r="G16" s="24" t="s">
        <v>54</v>
      </c>
      <c r="H16" s="24" t="str">
        <f>INDEX(TABLAS!$B$14:$F$18,MATCH(F16,TABLAS!$A$14:$A$18,0),MATCH(G16,TABLAS!$B$13:$F$13,0))</f>
        <v>A</v>
      </c>
      <c r="I16" s="26" t="s">
        <v>611</v>
      </c>
      <c r="J16" s="27" t="s">
        <v>69</v>
      </c>
      <c r="K16" s="27">
        <f>IF(J16="","",VLOOKUP(J16,TABLAS!$A$30:$B$32,2,0))</f>
        <v>1</v>
      </c>
      <c r="L16" s="27" t="s">
        <v>65</v>
      </c>
      <c r="M16" s="27">
        <f>IF(L16="","",VLOOKUP(L16,TABLAS!$C$30:$D$33,2,0))</f>
        <v>3</v>
      </c>
      <c r="N16" s="27" t="s">
        <v>76</v>
      </c>
      <c r="O16" s="27">
        <f>+IF(N16="","",VLOOKUP(N16,TABLAS!$E$30:$F$33,2,0))</f>
        <v>3</v>
      </c>
      <c r="P16" s="27" t="s">
        <v>81</v>
      </c>
      <c r="Q16" s="27">
        <f>+IF(P16="","",VLOOKUP(P16,TABLAS!$G$30:$H$33,2,0))</f>
        <v>3</v>
      </c>
      <c r="R16" s="27" t="s">
        <v>87</v>
      </c>
      <c r="S16" s="27">
        <f>+IF(R16="","",VLOOKUP(R16,TABLAS!$I$30:$J$33,2,0))</f>
        <v>3</v>
      </c>
      <c r="T16" s="27">
        <f t="shared" si="0"/>
        <v>2.5</v>
      </c>
      <c r="U16" s="26">
        <f>+IF(T15&gt;=TABLAS!$A$39,F15-TABLAS!$C$39,F15)</f>
        <v>1</v>
      </c>
      <c r="V16" s="24" t="s">
        <v>52</v>
      </c>
      <c r="W16" s="24" t="str">
        <f>INDEX(TABLAS!$B$14:$F$18,MATCH(U16,TABLAS!$A$14:$A$18,0),MATCH(V16,TABLAS!$B$13:$F$13,0))</f>
        <v>M</v>
      </c>
      <c r="X16" s="26" t="str">
        <f>+VLOOKUP(W16,TABLAS!$A$22:$B$25,2,0)</f>
        <v>Asumir, mitigar el riesgo</v>
      </c>
      <c r="Y16" s="26" t="s">
        <v>103</v>
      </c>
      <c r="Z16" s="26" t="s">
        <v>297</v>
      </c>
      <c r="AA16" s="26" t="s">
        <v>612</v>
      </c>
      <c r="AB16" s="24" t="s">
        <v>36</v>
      </c>
      <c r="AC16" s="24"/>
      <c r="AD16" s="24" t="s">
        <v>36</v>
      </c>
      <c r="AE16" s="24">
        <v>0</v>
      </c>
      <c r="AF16" s="24" t="s">
        <v>36</v>
      </c>
      <c r="AG16" s="24">
        <v>0</v>
      </c>
    </row>
    <row r="17" spans="1:33" ht="93.6" x14ac:dyDescent="0.3">
      <c r="A17" s="44" t="s">
        <v>167</v>
      </c>
      <c r="B17" s="213" t="s">
        <v>292</v>
      </c>
      <c r="C17" s="26" t="s">
        <v>293</v>
      </c>
      <c r="D17" s="26" t="s">
        <v>203</v>
      </c>
      <c r="E17" s="26" t="s">
        <v>385</v>
      </c>
      <c r="F17" s="24">
        <v>2</v>
      </c>
      <c r="G17" s="24" t="s">
        <v>52</v>
      </c>
      <c r="H17" s="24" t="str">
        <f>INDEX(TABLAS!$B$14:$F$18,MATCH(F17,TABLAS!$A$14:$A$18,0),MATCH(G17,TABLAS!$B$13:$F$13,0))</f>
        <v>M</v>
      </c>
      <c r="I17" s="26" t="s">
        <v>294</v>
      </c>
      <c r="J17" s="27" t="s">
        <v>69</v>
      </c>
      <c r="K17" s="27">
        <f>IF(J17="","",VLOOKUP(J17,TABLAS!$A$30:$B$32,2,0))</f>
        <v>1</v>
      </c>
      <c r="L17" s="27" t="s">
        <v>65</v>
      </c>
      <c r="M17" s="27">
        <f>IF(L17="","",VLOOKUP(L17,TABLAS!$C$30:$D$33,2,0))</f>
        <v>3</v>
      </c>
      <c r="N17" s="27" t="s">
        <v>76</v>
      </c>
      <c r="O17" s="27">
        <f>+IF(N17="","",VLOOKUP(N17,TABLAS!$E$30:$F$33,2,0))</f>
        <v>3</v>
      </c>
      <c r="P17" s="27" t="s">
        <v>81</v>
      </c>
      <c r="Q17" s="27">
        <f>+IF(P17="","",VLOOKUP(P17,TABLAS!$G$30:$H$33,2,0))</f>
        <v>3</v>
      </c>
      <c r="R17" s="27" t="s">
        <v>86</v>
      </c>
      <c r="S17" s="27">
        <f>+IF(R17="","",VLOOKUP(R17,TABLAS!$I$30:$J$33,2,0))</f>
        <v>3</v>
      </c>
      <c r="T17" s="27">
        <f t="shared" si="0"/>
        <v>2.5</v>
      </c>
      <c r="U17" s="26">
        <f>+IF(T17&gt;=TABLAS!$A$39,F17-TABLAS!$C$39,F17)</f>
        <v>1</v>
      </c>
      <c r="V17" s="24" t="s">
        <v>51</v>
      </c>
      <c r="W17" s="24" t="str">
        <f>INDEX(TABLAS!$B$14:$F$18,MATCH(U17,TABLAS!$A$14:$A$18,0),MATCH(V17,TABLAS!$B$13:$F$13,0))</f>
        <v>B</v>
      </c>
      <c r="X17" s="24" t="str">
        <f>+VLOOKUP(W17,TABLAS!$A$22:$B$25,2,0)</f>
        <v>Asumir y monitoreo</v>
      </c>
      <c r="Y17" s="26" t="s">
        <v>103</v>
      </c>
      <c r="Z17" s="26" t="s">
        <v>149</v>
      </c>
      <c r="AA17" s="26" t="s">
        <v>132</v>
      </c>
      <c r="AB17" s="24" t="s">
        <v>36</v>
      </c>
      <c r="AC17" s="24"/>
      <c r="AD17" s="24" t="s">
        <v>36</v>
      </c>
      <c r="AE17" s="24"/>
      <c r="AF17" s="24" t="s">
        <v>36</v>
      </c>
      <c r="AG17" s="24"/>
    </row>
    <row r="18" spans="1:33" ht="78" x14ac:dyDescent="0.3">
      <c r="A18" s="44" t="s">
        <v>168</v>
      </c>
      <c r="B18" s="214"/>
      <c r="C18" s="26" t="s">
        <v>295</v>
      </c>
      <c r="D18" s="26" t="s">
        <v>203</v>
      </c>
      <c r="E18" s="26" t="s">
        <v>385</v>
      </c>
      <c r="F18" s="24">
        <v>1</v>
      </c>
      <c r="G18" s="24" t="s">
        <v>51</v>
      </c>
      <c r="H18" s="24" t="str">
        <f>INDEX(TABLAS!$B$14:$F$18,MATCH(F18,TABLAS!$A$14:$A$18,0),MATCH(G18,TABLAS!$B$13:$F$13,0))</f>
        <v>B</v>
      </c>
      <c r="I18" s="26" t="s">
        <v>296</v>
      </c>
      <c r="J18" s="27" t="s">
        <v>69</v>
      </c>
      <c r="K18" s="27">
        <f>IF(J18="","",VLOOKUP(J18,TABLAS!$A$30:$B$32,2,0))</f>
        <v>1</v>
      </c>
      <c r="L18" s="27" t="s">
        <v>72</v>
      </c>
      <c r="M18" s="27">
        <f>IF(L18="","",VLOOKUP(L18,TABLAS!$C$30:$D$33,2,0))</f>
        <v>2</v>
      </c>
      <c r="N18" s="27" t="s">
        <v>76</v>
      </c>
      <c r="O18" s="27">
        <f>+IF(N18="","",VLOOKUP(N18,TABLAS!$E$30:$F$33,2,0))</f>
        <v>3</v>
      </c>
      <c r="P18" s="27" t="s">
        <v>81</v>
      </c>
      <c r="Q18" s="27">
        <f>+IF(P18="","",VLOOKUP(P18,TABLAS!$G$30:$H$33,2,0))</f>
        <v>3</v>
      </c>
      <c r="R18" s="27" t="s">
        <v>87</v>
      </c>
      <c r="S18" s="27">
        <f>+IF(R18="","",VLOOKUP(R18,TABLAS!$I$30:$J$33,2,0))</f>
        <v>3</v>
      </c>
      <c r="T18" s="27">
        <f t="shared" si="0"/>
        <v>2.4000000000000004</v>
      </c>
      <c r="U18" s="26">
        <f>+IF(F18=1,1,IF(T18&gt;=TABLAS!$A$39,F15-TABLAS!$C$39,F15))</f>
        <v>1</v>
      </c>
      <c r="V18" s="26" t="s">
        <v>50</v>
      </c>
      <c r="W18" s="24" t="str">
        <f>INDEX(TABLAS!$B$14:$F$18,MATCH(U18,TABLAS!$A$14:$A$18,0),MATCH(V18,TABLAS!$B$13:$F$13,0))</f>
        <v>B</v>
      </c>
      <c r="X18" s="24" t="str">
        <f>+VLOOKUP(W18,TABLAS!$A$22:$B$25,2,0)</f>
        <v>Asumir y monitoreo</v>
      </c>
      <c r="Y18" s="26" t="s">
        <v>103</v>
      </c>
      <c r="Z18" s="26" t="s">
        <v>297</v>
      </c>
      <c r="AA18" s="26" t="s">
        <v>132</v>
      </c>
      <c r="AB18" s="24" t="s">
        <v>36</v>
      </c>
      <c r="AC18" s="24"/>
      <c r="AD18" s="24" t="s">
        <v>36</v>
      </c>
      <c r="AE18" s="24"/>
      <c r="AF18" s="24" t="s">
        <v>36</v>
      </c>
      <c r="AG18" s="24"/>
    </row>
    <row r="19" spans="1:33" ht="62.4" x14ac:dyDescent="0.3">
      <c r="A19" s="44" t="s">
        <v>169</v>
      </c>
      <c r="B19" s="31" t="s">
        <v>300</v>
      </c>
      <c r="C19" s="31" t="s">
        <v>298</v>
      </c>
      <c r="D19" s="26" t="s">
        <v>203</v>
      </c>
      <c r="E19" s="26" t="s">
        <v>385</v>
      </c>
      <c r="F19" s="24">
        <v>3</v>
      </c>
      <c r="G19" s="24" t="s">
        <v>53</v>
      </c>
      <c r="H19" s="24" t="str">
        <f>INDEX(TABLAS!$B$14:$F$18,MATCH(F19,TABLAS!$A$14:$A$18,0),MATCH(G19,TABLAS!$B$13:$F$13,0))</f>
        <v>E</v>
      </c>
      <c r="I19" s="26" t="s">
        <v>299</v>
      </c>
      <c r="J19" s="27" t="s">
        <v>69</v>
      </c>
      <c r="K19" s="27">
        <f>IF(J19="","",VLOOKUP(J19,TABLAS!$A$30:$B$32,2,0))</f>
        <v>1</v>
      </c>
      <c r="L19" s="27" t="s">
        <v>72</v>
      </c>
      <c r="M19" s="27">
        <f>IF(L19="","",VLOOKUP(L19,TABLAS!$C$30:$D$33,2,0))</f>
        <v>2</v>
      </c>
      <c r="N19" s="27" t="s">
        <v>76</v>
      </c>
      <c r="O19" s="27">
        <f>+IF(N19="","",VLOOKUP(N19,TABLAS!$E$30:$F$33,2,0))</f>
        <v>3</v>
      </c>
      <c r="P19" s="27" t="s">
        <v>81</v>
      </c>
      <c r="Q19" s="27">
        <f>+IF(P19="","",VLOOKUP(P19,TABLAS!$G$30:$H$33,2,0))</f>
        <v>3</v>
      </c>
      <c r="R19" s="27" t="s">
        <v>87</v>
      </c>
      <c r="S19" s="27">
        <f>+IF(R19="","",VLOOKUP(R19,TABLAS!$I$30:$J$33,2,0))</f>
        <v>3</v>
      </c>
      <c r="T19" s="27">
        <f t="shared" si="0"/>
        <v>2.4000000000000004</v>
      </c>
      <c r="U19" s="26">
        <f>+IF(T19&gt;=TABLAS!$A$39,F19-TABLAS!$C$39,F19)</f>
        <v>2</v>
      </c>
      <c r="V19" s="24" t="s">
        <v>52</v>
      </c>
      <c r="W19" s="24" t="str">
        <f>INDEX(TABLAS!$B$14:$F$18,MATCH(U19,TABLAS!$A$14:$A$18,0),MATCH(V19,TABLAS!$B$13:$F$13,0))</f>
        <v>M</v>
      </c>
      <c r="X19" s="26" t="str">
        <f>+VLOOKUP(W19,TABLAS!$A$22:$B$25,2,0)</f>
        <v>Asumir, mitigar el riesgo</v>
      </c>
      <c r="Y19" s="26" t="s">
        <v>103</v>
      </c>
      <c r="Z19" s="26" t="s">
        <v>297</v>
      </c>
      <c r="AA19" s="26" t="s">
        <v>132</v>
      </c>
      <c r="AB19" s="24" t="s">
        <v>36</v>
      </c>
      <c r="AC19" s="24"/>
      <c r="AD19" s="24" t="s">
        <v>36</v>
      </c>
      <c r="AE19" s="24"/>
      <c r="AF19" s="24" t="s">
        <v>36</v>
      </c>
      <c r="AG19" s="24"/>
    </row>
    <row r="20" spans="1:33" ht="93.75" customHeight="1" x14ac:dyDescent="0.3">
      <c r="A20" s="44" t="s">
        <v>170</v>
      </c>
      <c r="B20" s="26" t="s">
        <v>181</v>
      </c>
      <c r="C20" s="26" t="s">
        <v>230</v>
      </c>
      <c r="D20" s="26" t="s">
        <v>203</v>
      </c>
      <c r="E20" s="26" t="s">
        <v>385</v>
      </c>
      <c r="F20" s="24">
        <v>3</v>
      </c>
      <c r="G20" s="24" t="s">
        <v>53</v>
      </c>
      <c r="H20" s="24" t="str">
        <f>INDEX(TABLAS!$B$14:$F$18,MATCH(F20,TABLAS!$A$14:$A$18,0),MATCH(G20,TABLAS!$B$13:$F$13,0))</f>
        <v>E</v>
      </c>
      <c r="I20" s="26" t="s">
        <v>303</v>
      </c>
      <c r="J20" s="27" t="s">
        <v>69</v>
      </c>
      <c r="K20" s="27">
        <f>IF(J20="","",VLOOKUP(J20,TABLAS!$A$30:$B$32,2,0))</f>
        <v>1</v>
      </c>
      <c r="L20" s="27" t="s">
        <v>72</v>
      </c>
      <c r="M20" s="27">
        <f>IF(L20="","",VLOOKUP(L20,TABLAS!$C$30:$D$33,2,0))</f>
        <v>2</v>
      </c>
      <c r="N20" s="27" t="s">
        <v>76</v>
      </c>
      <c r="O20" s="27">
        <f>+IF(N20="","",VLOOKUP(N20,TABLAS!$E$30:$F$33,2,0))</f>
        <v>3</v>
      </c>
      <c r="P20" s="27" t="s">
        <v>81</v>
      </c>
      <c r="Q20" s="27">
        <f>+IF(P20="","",VLOOKUP(P20,TABLAS!$G$30:$H$33,2,0))</f>
        <v>3</v>
      </c>
      <c r="R20" s="27" t="s">
        <v>87</v>
      </c>
      <c r="S20" s="27">
        <f>+IF(R20="","",VLOOKUP(R20,TABLAS!$I$30:$J$33,2,0))</f>
        <v>3</v>
      </c>
      <c r="T20" s="27">
        <f t="shared" si="0"/>
        <v>2.4000000000000004</v>
      </c>
      <c r="U20" s="26">
        <f>+IF(T20&gt;=TABLAS!$A$39,F20-TABLAS!$C$39,F20)</f>
        <v>2</v>
      </c>
      <c r="V20" s="24" t="s">
        <v>52</v>
      </c>
      <c r="W20" s="24" t="str">
        <f>INDEX(TABLAS!$B$14:$F$18,MATCH(U20,TABLAS!$A$14:$A$18,0),MATCH(V20,TABLAS!$B$13:$F$13,0))</f>
        <v>M</v>
      </c>
      <c r="X20" s="26" t="str">
        <f>+VLOOKUP(W20,TABLAS!$A$22:$B$25,2,0)</f>
        <v>Asumir, mitigar el riesgo</v>
      </c>
      <c r="Y20" s="26" t="s">
        <v>103</v>
      </c>
      <c r="Z20" s="26" t="s">
        <v>149</v>
      </c>
      <c r="AA20" s="26" t="s">
        <v>132</v>
      </c>
      <c r="AB20" s="24" t="s">
        <v>36</v>
      </c>
      <c r="AC20" s="24"/>
      <c r="AD20" s="24" t="s">
        <v>36</v>
      </c>
      <c r="AE20" s="24"/>
      <c r="AF20" s="24" t="s">
        <v>36</v>
      </c>
      <c r="AG20" s="24"/>
    </row>
    <row r="22" spans="1:33" ht="23.4" x14ac:dyDescent="0.3">
      <c r="A22" s="201" t="s">
        <v>587</v>
      </c>
      <c r="B22" s="201"/>
      <c r="C22" s="201"/>
      <c r="D22" s="201"/>
      <c r="E22" s="206" t="s">
        <v>476</v>
      </c>
      <c r="F22" s="206"/>
      <c r="G22" s="206"/>
      <c r="H22" s="206"/>
      <c r="I22" s="206"/>
    </row>
    <row r="23" spans="1:33" ht="6.75" customHeight="1" x14ac:dyDescent="0.3">
      <c r="E23" s="145"/>
      <c r="F23" s="145"/>
      <c r="G23" s="145"/>
      <c r="H23" s="145"/>
      <c r="I23" s="145"/>
    </row>
    <row r="24" spans="1:33" ht="23.4" x14ac:dyDescent="0.3">
      <c r="A24" s="201" t="s">
        <v>588</v>
      </c>
      <c r="B24" s="201"/>
      <c r="C24" s="201"/>
      <c r="D24" s="201"/>
      <c r="E24" s="206" t="s">
        <v>589</v>
      </c>
      <c r="F24" s="206"/>
      <c r="G24" s="206"/>
      <c r="H24" s="206"/>
      <c r="I24" s="206"/>
    </row>
  </sheetData>
  <mergeCells count="20">
    <mergeCell ref="A10:D10"/>
    <mergeCell ref="E10:G10"/>
    <mergeCell ref="A22:D22"/>
    <mergeCell ref="E22:I22"/>
    <mergeCell ref="A24:D24"/>
    <mergeCell ref="E24:I24"/>
    <mergeCell ref="B17:B18"/>
    <mergeCell ref="A12:A14"/>
    <mergeCell ref="B12:E13"/>
    <mergeCell ref="X12:AA12"/>
    <mergeCell ref="AB12:AG13"/>
    <mergeCell ref="F13:G13"/>
    <mergeCell ref="X13:X14"/>
    <mergeCell ref="Y13:Y14"/>
    <mergeCell ref="Z13:Z14"/>
    <mergeCell ref="AA13:AA14"/>
    <mergeCell ref="F12:H12"/>
    <mergeCell ref="I12:T13"/>
    <mergeCell ref="U12:V13"/>
    <mergeCell ref="W12:W13"/>
  </mergeCells>
  <conditionalFormatting sqref="H15:H19 W15:W19">
    <cfRule type="expression" dxfId="87" priority="13" stopIfTrue="1">
      <formula>H15="E"</formula>
    </cfRule>
    <cfRule type="expression" dxfId="86" priority="14" stopIfTrue="1">
      <formula>H15="M"</formula>
    </cfRule>
    <cfRule type="expression" dxfId="85" priority="15" stopIfTrue="1">
      <formula>H15="B"</formula>
    </cfRule>
    <cfRule type="expression" dxfId="84" priority="16" stopIfTrue="1">
      <formula>H15="A"</formula>
    </cfRule>
  </conditionalFormatting>
  <conditionalFormatting sqref="H20">
    <cfRule type="expression" dxfId="83" priority="5" stopIfTrue="1">
      <formula>H20="E"</formula>
    </cfRule>
    <cfRule type="expression" dxfId="82" priority="6" stopIfTrue="1">
      <formula>H20="M"</formula>
    </cfRule>
    <cfRule type="expression" dxfId="81" priority="7" stopIfTrue="1">
      <formula>H20="B"</formula>
    </cfRule>
    <cfRule type="expression" dxfId="80" priority="8" stopIfTrue="1">
      <formula>H20="A"</formula>
    </cfRule>
  </conditionalFormatting>
  <conditionalFormatting sqref="W20">
    <cfRule type="expression" dxfId="79" priority="1" stopIfTrue="1">
      <formula>W20="E"</formula>
    </cfRule>
    <cfRule type="expression" dxfId="78" priority="2" stopIfTrue="1">
      <formula>W20="M"</formula>
    </cfRule>
    <cfRule type="expression" dxfId="77" priority="3" stopIfTrue="1">
      <formula>W20="B"</formula>
    </cfRule>
    <cfRule type="expression" dxfId="76" priority="4" stopIfTrue="1">
      <formula>W20="A"</formula>
    </cfRule>
  </conditionalFormatting>
  <pageMargins left="0.70866141732283472" right="0.70866141732283472" top="0.74803149606299213" bottom="0.74803149606299213" header="0.31496062992125984" footer="0.31496062992125984"/>
  <pageSetup paperSize="9" scale="51" orientation="landscape" r:id="rId1"/>
  <colBreaks count="1" manualBreakCount="1">
    <brk id="15" max="23"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700-000000000000}">
          <x14:formula1>
            <xm:f>TABLAS!$I$30:$I$33</xm:f>
          </x14:formula1>
          <xm:sqref>R15:R20</xm:sqref>
        </x14:dataValidation>
        <x14:dataValidation type="list" allowBlank="1" showInputMessage="1" showErrorMessage="1" xr:uid="{00000000-0002-0000-0700-000001000000}">
          <x14:formula1>
            <xm:f>TABLAS!$G$30:$G$33</xm:f>
          </x14:formula1>
          <xm:sqref>P15:P20</xm:sqref>
        </x14:dataValidation>
        <x14:dataValidation type="list" allowBlank="1" showInputMessage="1" showErrorMessage="1" xr:uid="{00000000-0002-0000-0700-000002000000}">
          <x14:formula1>
            <xm:f>TABLAS!$E$30:$E$33</xm:f>
          </x14:formula1>
          <xm:sqref>N15:N20</xm:sqref>
        </x14:dataValidation>
        <x14:dataValidation type="list" allowBlank="1" showInputMessage="1" showErrorMessage="1" xr:uid="{00000000-0002-0000-0700-000003000000}">
          <x14:formula1>
            <xm:f>TABLAS!$C$30:$C$33</xm:f>
          </x14:formula1>
          <xm:sqref>L15:L20</xm:sqref>
        </x14:dataValidation>
        <x14:dataValidation type="list" allowBlank="1" showInputMessage="1" showErrorMessage="1" xr:uid="{00000000-0002-0000-0700-000004000000}">
          <x14:formula1>
            <xm:f>TABLAS!$A$30:$A$32</xm:f>
          </x14:formula1>
          <xm:sqref>J15:J20</xm:sqref>
        </x14:dataValidation>
        <x14:dataValidation type="list" allowBlank="1" showInputMessage="1" showErrorMessage="1" xr:uid="{00000000-0002-0000-0700-000005000000}">
          <x14:formula1>
            <xm:f>TABLAS!$B$13:$F$13</xm:f>
          </x14:formula1>
          <xm:sqref>G15:G20 V15:V20</xm:sqref>
        </x14:dataValidation>
        <x14:dataValidation type="list" allowBlank="1" showInputMessage="1" showErrorMessage="1" xr:uid="{00000000-0002-0000-0700-000006000000}">
          <x14:formula1>
            <xm:f>TABLAS!$A$14:$A$18</xm:f>
          </x14:formula1>
          <xm:sqref>F15:F20</xm:sqref>
        </x14:dataValidation>
        <x14:dataValidation type="list" allowBlank="1" showInputMessage="1" showErrorMessage="1" xr:uid="{00000000-0002-0000-0700-000007000000}">
          <x14:formula1>
            <xm:f>TABLAS!$A$44:$A$52</xm:f>
          </x14:formula1>
          <xm:sqref>D15:D20</xm:sqref>
        </x14:dataValidation>
        <x14:dataValidation type="list" allowBlank="1" showInputMessage="1" showErrorMessage="1" xr:uid="{00000000-0002-0000-0700-000008000000}">
          <x14:formula1>
            <xm:f>TABLAS!$B$44:$B$52</xm:f>
          </x14:formula1>
          <xm:sqref>E15:E20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0:S30"/>
  <sheetViews>
    <sheetView view="pageBreakPreview" topLeftCell="A21" zoomScale="60" zoomScaleNormal="90" workbookViewId="0">
      <selection activeCell="A31" sqref="A31"/>
    </sheetView>
  </sheetViews>
  <sheetFormatPr baseColWidth="10" defaultColWidth="11.44140625" defaultRowHeight="15.6" x14ac:dyDescent="0.3"/>
  <cols>
    <col min="1" max="1" width="15.88671875" style="145" customWidth="1"/>
    <col min="2" max="2" width="25.109375" style="145" customWidth="1"/>
    <col min="3" max="3" width="21.88671875" style="145" customWidth="1"/>
    <col min="4" max="4" width="25.44140625" style="145" customWidth="1"/>
    <col min="5" max="5" width="27" style="145" customWidth="1"/>
    <col min="6" max="6" width="21.33203125" style="145" customWidth="1"/>
    <col min="7" max="7" width="20.33203125" style="145" customWidth="1"/>
    <col min="8" max="8" width="18.44140625" style="145" customWidth="1"/>
    <col min="9" max="9" width="28.109375" style="145" customWidth="1"/>
    <col min="10" max="10" width="24.88671875" style="145" customWidth="1"/>
    <col min="11" max="11" width="19.109375" style="145" hidden="1" customWidth="1"/>
    <col min="12" max="12" width="16.44140625" style="145" customWidth="1"/>
    <col min="13" max="13" width="19.109375" style="145" hidden="1" customWidth="1"/>
    <col min="14" max="14" width="15.88671875" style="145" bestFit="1" customWidth="1"/>
    <col min="15" max="15" width="19.109375" style="145" hidden="1" customWidth="1"/>
    <col min="16" max="16" width="14" style="145" customWidth="1"/>
    <col min="17" max="17" width="19.109375" style="145" hidden="1" customWidth="1"/>
    <col min="18" max="18" width="14.5546875" style="145" bestFit="1" customWidth="1"/>
    <col min="19" max="19" width="19.109375" style="145" hidden="1" customWidth="1"/>
    <col min="20" max="20" width="14.88671875" style="145" customWidth="1"/>
    <col min="21" max="21" width="19.5546875" style="145" customWidth="1"/>
    <col min="22" max="22" width="18.6640625" style="145" customWidth="1"/>
    <col min="23" max="23" width="19" style="145" customWidth="1"/>
    <col min="24" max="24" width="19.88671875" style="145" customWidth="1"/>
    <col min="25" max="25" width="17.33203125" style="145" customWidth="1"/>
    <col min="26" max="26" width="16.88671875" style="145" customWidth="1"/>
    <col min="27" max="27" width="22.88671875" style="145" customWidth="1"/>
    <col min="28" max="28" width="11.44140625" style="145" customWidth="1"/>
    <col min="29" max="29" width="18.44140625" style="145" customWidth="1"/>
    <col min="30" max="30" width="11.44140625" style="145" customWidth="1"/>
    <col min="31" max="31" width="17.33203125" style="145" customWidth="1"/>
    <col min="32" max="32" width="11.44140625" style="145" customWidth="1"/>
    <col min="33" max="33" width="18.88671875" style="145" customWidth="1"/>
    <col min="34" max="16384" width="11.44140625" style="145"/>
  </cols>
  <sheetData>
    <row r="10" spans="1:9" ht="23.4" x14ac:dyDescent="0.3">
      <c r="A10" s="201" t="s">
        <v>343</v>
      </c>
      <c r="B10" s="201"/>
      <c r="C10" s="201"/>
      <c r="D10" s="201"/>
      <c r="E10" s="202" t="s">
        <v>348</v>
      </c>
      <c r="F10" s="202"/>
      <c r="G10" s="202"/>
    </row>
    <row r="12" spans="1:9" s="89" customFormat="1" ht="31.5" customHeight="1" x14ac:dyDescent="0.3">
      <c r="A12" s="93" t="s">
        <v>357</v>
      </c>
      <c r="B12" s="93" t="s">
        <v>358</v>
      </c>
      <c r="C12" s="93" t="s">
        <v>359</v>
      </c>
      <c r="D12" s="93" t="s">
        <v>9</v>
      </c>
      <c r="E12" s="93" t="s">
        <v>360</v>
      </c>
      <c r="F12" s="93" t="s">
        <v>361</v>
      </c>
      <c r="G12" s="93" t="s">
        <v>11</v>
      </c>
      <c r="H12" s="93" t="s">
        <v>362</v>
      </c>
      <c r="I12" s="93" t="s">
        <v>11</v>
      </c>
    </row>
    <row r="13" spans="1:9" s="89" customFormat="1" ht="14.4" x14ac:dyDescent="0.3">
      <c r="A13" s="126"/>
      <c r="B13" s="126"/>
      <c r="C13" s="126"/>
      <c r="D13" s="126"/>
      <c r="E13" s="139"/>
      <c r="F13" s="139"/>
      <c r="G13" s="126"/>
      <c r="H13" s="126"/>
      <c r="I13" s="126"/>
    </row>
    <row r="14" spans="1:9" s="89" customFormat="1" ht="14.4" x14ac:dyDescent="0.3">
      <c r="A14" s="126"/>
      <c r="B14" s="126"/>
      <c r="C14" s="126"/>
      <c r="D14" s="126"/>
      <c r="E14" s="139"/>
      <c r="F14" s="139"/>
      <c r="G14" s="126"/>
      <c r="H14" s="126"/>
      <c r="I14" s="126"/>
    </row>
    <row r="15" spans="1:9" s="89" customFormat="1" ht="14.4" x14ac:dyDescent="0.3">
      <c r="A15" s="126"/>
      <c r="B15" s="126"/>
      <c r="C15" s="126"/>
      <c r="D15" s="126"/>
      <c r="E15" s="139"/>
      <c r="F15" s="139"/>
      <c r="G15" s="126"/>
      <c r="H15" s="126"/>
      <c r="I15" s="126"/>
    </row>
    <row r="16" spans="1:9" s="89" customFormat="1" ht="14.4" x14ac:dyDescent="0.3">
      <c r="A16" s="126"/>
      <c r="B16" s="126"/>
      <c r="C16" s="126"/>
      <c r="D16" s="126"/>
      <c r="E16" s="139"/>
      <c r="F16" s="139"/>
      <c r="G16" s="126"/>
      <c r="H16" s="126"/>
      <c r="I16" s="126"/>
    </row>
    <row r="17" spans="1:9" s="89" customFormat="1" ht="14.4" x14ac:dyDescent="0.3">
      <c r="A17" s="126"/>
      <c r="B17" s="126"/>
      <c r="C17" s="126"/>
      <c r="D17" s="126"/>
      <c r="E17" s="139"/>
      <c r="F17" s="139"/>
      <c r="G17" s="126"/>
      <c r="H17" s="126"/>
      <c r="I17" s="126"/>
    </row>
    <row r="18" spans="1:9" s="89" customFormat="1" ht="14.4" x14ac:dyDescent="0.3">
      <c r="A18" s="126"/>
      <c r="B18" s="126"/>
      <c r="C18" s="126"/>
      <c r="D18" s="126"/>
      <c r="E18" s="139"/>
      <c r="F18" s="139"/>
      <c r="G18" s="126"/>
      <c r="H18" s="126"/>
      <c r="I18" s="126"/>
    </row>
    <row r="19" spans="1:9" s="89" customFormat="1" ht="14.4" x14ac:dyDescent="0.3">
      <c r="A19" s="126"/>
      <c r="B19" s="126"/>
      <c r="C19" s="146"/>
      <c r="D19" s="126"/>
      <c r="E19" s="139"/>
      <c r="F19" s="139"/>
      <c r="G19" s="126"/>
      <c r="H19" s="126"/>
      <c r="I19" s="126"/>
    </row>
    <row r="20" spans="1:9" s="89" customFormat="1" ht="14.4" x14ac:dyDescent="0.3">
      <c r="A20" s="90"/>
      <c r="B20" s="90"/>
      <c r="C20" s="90"/>
      <c r="D20" s="90"/>
      <c r="E20" s="90"/>
      <c r="F20" s="90"/>
      <c r="G20" s="90"/>
      <c r="H20" s="90"/>
      <c r="I20" s="90"/>
    </row>
    <row r="21" spans="1:9" s="89" customFormat="1" ht="14.4" x14ac:dyDescent="0.3">
      <c r="A21" s="90"/>
      <c r="B21" s="90"/>
      <c r="C21" s="90"/>
      <c r="D21" s="90"/>
      <c r="E21" s="90"/>
      <c r="F21" s="90"/>
      <c r="G21" s="90"/>
      <c r="H21" s="90"/>
      <c r="I21" s="90"/>
    </row>
    <row r="22" spans="1:9" s="89" customFormat="1" ht="14.4" x14ac:dyDescent="0.3">
      <c r="A22" s="90"/>
      <c r="B22" s="90"/>
      <c r="C22" s="90"/>
      <c r="D22" s="90"/>
      <c r="E22" s="90"/>
      <c r="F22" s="90"/>
      <c r="G22" s="90"/>
      <c r="H22" s="90"/>
      <c r="I22" s="90"/>
    </row>
    <row r="23" spans="1:9" s="89" customFormat="1" ht="14.4" x14ac:dyDescent="0.3">
      <c r="A23" s="90"/>
      <c r="B23" s="90"/>
      <c r="C23" s="90"/>
      <c r="D23" s="90"/>
      <c r="E23" s="90"/>
      <c r="F23" s="90"/>
      <c r="G23" s="90"/>
      <c r="H23" s="90"/>
      <c r="I23" s="90"/>
    </row>
    <row r="24" spans="1:9" s="89" customFormat="1" ht="14.4" x14ac:dyDescent="0.3">
      <c r="A24" s="90"/>
      <c r="B24" s="90"/>
      <c r="C24" s="90"/>
      <c r="D24" s="90"/>
      <c r="E24" s="90"/>
      <c r="F24" s="90"/>
      <c r="G24" s="90"/>
      <c r="H24" s="90"/>
      <c r="I24" s="90"/>
    </row>
    <row r="25" spans="1:9" s="89" customFormat="1" ht="14.4" x14ac:dyDescent="0.3">
      <c r="A25" s="90"/>
      <c r="B25" s="90"/>
      <c r="C25" s="90"/>
      <c r="D25" s="90"/>
      <c r="E25" s="90"/>
      <c r="F25" s="90"/>
      <c r="G25" s="90"/>
      <c r="H25" s="90"/>
      <c r="I25" s="90"/>
    </row>
    <row r="26" spans="1:9" s="89" customFormat="1" ht="14.4" x14ac:dyDescent="0.3">
      <c r="A26" s="90"/>
      <c r="B26" s="90"/>
      <c r="C26" s="90"/>
      <c r="D26" s="90"/>
      <c r="E26" s="90"/>
      <c r="F26" s="90"/>
      <c r="G26" s="90"/>
      <c r="H26" s="90"/>
      <c r="I26" s="90"/>
    </row>
    <row r="28" spans="1:9" ht="23.4" x14ac:dyDescent="0.3">
      <c r="A28" s="201" t="s">
        <v>590</v>
      </c>
      <c r="B28" s="201"/>
      <c r="C28" s="201"/>
      <c r="D28" s="201"/>
      <c r="E28" s="206" t="s">
        <v>476</v>
      </c>
      <c r="F28" s="206"/>
      <c r="G28" s="206"/>
      <c r="H28" s="206"/>
      <c r="I28" s="206"/>
    </row>
    <row r="30" spans="1:9" ht="23.4" x14ac:dyDescent="0.3">
      <c r="A30" s="201" t="s">
        <v>591</v>
      </c>
      <c r="B30" s="201"/>
      <c r="C30" s="201"/>
      <c r="D30" s="201"/>
      <c r="E30" s="206" t="s">
        <v>589</v>
      </c>
      <c r="F30" s="206"/>
      <c r="G30" s="206"/>
      <c r="H30" s="206"/>
      <c r="I30" s="206"/>
    </row>
  </sheetData>
  <sheetProtection algorithmName="SHA-512" hashValue="pQOXXouSdtuCu7CMc+OBQ7rQK5bK5WSzqtU6H8LMFs+l1NkM+Ll1rnbloGrIJoPbAt4mvjkl7hnk9zpwl2yiRA==" saltValue="3up1D8TwWhC1o3xuHwQOhg==" spinCount="100000" sheet="1" objects="1" scenarios="1"/>
  <mergeCells count="6">
    <mergeCell ref="A10:D10"/>
    <mergeCell ref="E10:G10"/>
    <mergeCell ref="A28:D28"/>
    <mergeCell ref="E28:I28"/>
    <mergeCell ref="A30:D30"/>
    <mergeCell ref="E30:I30"/>
  </mergeCell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9</vt:i4>
      </vt:variant>
    </vt:vector>
  </HeadingPairs>
  <TitlesOfParts>
    <vt:vector size="41" baseType="lpstr">
      <vt:lpstr>MOP</vt:lpstr>
      <vt:lpstr>01-GESTIÓN ESTRATÉGICA</vt:lpstr>
      <vt:lpstr>01-FORMATO ID Y SEGUI</vt:lpstr>
      <vt:lpstr>02-GESTIÓN DEL TALENTO HUMANO</vt:lpstr>
      <vt:lpstr>02-FORMATO ID Y SEGUI</vt:lpstr>
      <vt:lpstr>03-CAPTACIÓN</vt:lpstr>
      <vt:lpstr>03-FORMATO ID Y SEGUI</vt:lpstr>
      <vt:lpstr>04-INVERSIONES</vt:lpstr>
      <vt:lpstr>04-FORMATO ID Y SEGUI</vt:lpstr>
      <vt:lpstr>05-COLOCACIÓN</vt:lpstr>
      <vt:lpstr>05-FORMATO ID Y SEGUI</vt:lpstr>
      <vt:lpstr>06-GESTIÓN DE PROYECTOS</vt:lpstr>
      <vt:lpstr>06-FORMATO ID Y SEGUI</vt:lpstr>
      <vt:lpstr>07-GESTIÓN CONT. Y DEF JURÍDICA</vt:lpstr>
      <vt:lpstr>07-FORMATO ID Y SEGUI</vt:lpstr>
      <vt:lpstr>08-GESTIÓN DE CALIDAD</vt:lpstr>
      <vt:lpstr>08-FORMATO ID Y SEGUI</vt:lpstr>
      <vt:lpstr>09-GESTIÓN ADTVA</vt:lpstr>
      <vt:lpstr>09-FORMATO ID Y SEGUI</vt:lpstr>
      <vt:lpstr>10-GESTIÓN FINANCIERA</vt:lpstr>
      <vt:lpstr>10-FORMATO ID Y SEGUI</vt:lpstr>
      <vt:lpstr>11-TICS</vt:lpstr>
      <vt:lpstr>11-FORMATO ID Y SEGUI</vt:lpstr>
      <vt:lpstr>12-SEGUIMIENTO INSTITUCIONAL</vt:lpstr>
      <vt:lpstr>12-FORMATO ID Y SEGUI</vt:lpstr>
      <vt:lpstr>13-GESTIÓN DE RIESGOS</vt:lpstr>
      <vt:lpstr>13-FORMATO ID Y SEGUI</vt:lpstr>
      <vt:lpstr>13.1-LAFT</vt:lpstr>
      <vt:lpstr>13.1-FORMATO ID Y SEGUI</vt:lpstr>
      <vt:lpstr>TABLAS</vt:lpstr>
      <vt:lpstr>MAPA DE CALOR</vt:lpstr>
      <vt:lpstr>EVENTOS RO</vt:lpstr>
      <vt:lpstr>'03-FORMATO ID Y SEGUI'!Área_de_impresión</vt:lpstr>
      <vt:lpstr>'04-FORMATO ID Y SEGUI'!Área_de_impresión</vt:lpstr>
      <vt:lpstr>'05-FORMATO ID Y SEGUI'!Área_de_impresión</vt:lpstr>
      <vt:lpstr>'06-FORMATO ID Y SEGUI'!Área_de_impresión</vt:lpstr>
      <vt:lpstr>'07-FORMATO ID Y SEGUI'!Área_de_impresión</vt:lpstr>
      <vt:lpstr>'09-FORMATO ID Y SEGUI'!Área_de_impresión</vt:lpstr>
      <vt:lpstr>'10-FORMATO ID Y SEGUI'!Área_de_impresión</vt:lpstr>
      <vt:lpstr>'11-FORMATO ID Y SEGUI'!Área_de_impresión</vt:lpstr>
      <vt:lpstr>'12-FORMATO ID Y SEGUI'!Área_de_impresión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PresentacionesPc</dc:creator>
  <cp:lastModifiedBy>COMERCIAL</cp:lastModifiedBy>
  <cp:lastPrinted>2021-03-02T21:02:32Z</cp:lastPrinted>
  <dcterms:created xsi:type="dcterms:W3CDTF">2016-03-03T21:58:54Z</dcterms:created>
  <dcterms:modified xsi:type="dcterms:W3CDTF">2021-03-02T21:08:31Z</dcterms:modified>
</cp:coreProperties>
</file>